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liza\Desktop\PORTAL\Data Terbuka\"/>
    </mc:Choice>
  </mc:AlternateContent>
  <bookViews>
    <workbookView xWindow="0" yWindow="0" windowWidth="15360" windowHeight="7620"/>
  </bookViews>
  <sheets>
    <sheet name="LAMPU JALAN KPKT" sheetId="3" r:id="rId1"/>
    <sheet name="Sheet2" sheetId="2" state="hidden" r:id="rId2"/>
  </sheets>
  <definedNames>
    <definedName name="_xlnm._FilterDatabase" localSheetId="0" hidden="1">'LAMPU JALAN KPKT'!$A$6:$L$50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3" l="1"/>
  <c r="L16" i="3"/>
  <c r="L11" i="3"/>
  <c r="L50" i="3"/>
  <c r="L40" i="3"/>
  <c r="L36" i="3"/>
  <c r="L31" i="3"/>
  <c r="L29" i="3"/>
  <c r="L25" i="3"/>
  <c r="L19" i="3"/>
  <c r="L10" i="3"/>
  <c r="L48" i="3"/>
  <c r="L43" i="3"/>
  <c r="L38" i="3"/>
  <c r="L33" i="3"/>
  <c r="L30" i="3"/>
  <c r="L27" i="3"/>
  <c r="L23" i="3"/>
  <c r="L20" i="3"/>
  <c r="L13" i="3"/>
  <c r="L49" i="3"/>
  <c r="L44" i="3"/>
  <c r="L39" i="3"/>
  <c r="L34" i="3"/>
  <c r="L28" i="3"/>
  <c r="L24" i="3"/>
  <c r="L21" i="3"/>
  <c r="L18" i="3"/>
  <c r="L14" i="3"/>
  <c r="L9" i="3"/>
  <c r="L47" i="3"/>
  <c r="L42" i="3"/>
  <c r="L37" i="3"/>
  <c r="L32" i="3"/>
  <c r="L26" i="3"/>
  <c r="L12" i="3"/>
  <c r="L7" i="3"/>
  <c r="S4" i="3"/>
  <c r="S7" i="3" s="1"/>
  <c r="J12" i="2"/>
  <c r="J11" i="2"/>
  <c r="J9" i="2"/>
  <c r="J8" i="2"/>
  <c r="J7" i="2"/>
  <c r="J6" i="2"/>
  <c r="M6" i="2"/>
  <c r="J5" i="2"/>
  <c r="S28" i="3" l="1"/>
  <c r="S27" i="3"/>
  <c r="S33" i="3"/>
  <c r="S31" i="3"/>
  <c r="S30" i="3" l="1"/>
  <c r="S24" i="3"/>
  <c r="S25" i="3" s="1"/>
  <c r="S17" i="3"/>
  <c r="S16" i="3"/>
  <c r="S18" i="3" s="1"/>
  <c r="S19" i="3" l="1"/>
  <c r="S23" i="3"/>
  <c r="G46" i="3"/>
  <c r="L46" i="3" s="1"/>
  <c r="G45" i="3"/>
  <c r="L45" i="3" s="1"/>
  <c r="G15" i="3"/>
  <c r="F56" i="2"/>
  <c r="E56" i="2"/>
  <c r="F55" i="2"/>
  <c r="E55" i="2"/>
  <c r="F47" i="2"/>
  <c r="E47" i="2"/>
  <c r="F39" i="2"/>
  <c r="E39" i="2"/>
  <c r="F38" i="2"/>
  <c r="D38" i="2"/>
  <c r="E38" i="2"/>
  <c r="E34" i="2"/>
  <c r="D33" i="2"/>
  <c r="F33" i="2"/>
  <c r="E33" i="2"/>
  <c r="G22" i="3"/>
  <c r="L22" i="3" s="1"/>
  <c r="E13" i="2"/>
  <c r="D17" i="3"/>
  <c r="L17" i="3" s="1"/>
  <c r="E6" i="2"/>
  <c r="D8" i="3"/>
  <c r="E9" i="2"/>
  <c r="D74" i="3" l="1"/>
  <c r="D75" i="3" s="1"/>
  <c r="L8" i="3"/>
  <c r="F74" i="3"/>
  <c r="L15" i="3"/>
  <c r="E22" i="2"/>
  <c r="E23" i="2"/>
  <c r="E20" i="2"/>
  <c r="F19" i="2"/>
  <c r="C19" i="2"/>
  <c r="E19" i="2"/>
  <c r="F15" i="2"/>
  <c r="E16" i="2"/>
  <c r="E15" i="2"/>
  <c r="B9" i="2"/>
  <c r="B12" i="2"/>
  <c r="F12" i="2"/>
  <c r="E12" i="2"/>
  <c r="F10" i="2"/>
  <c r="E10" i="2"/>
  <c r="F9" i="2"/>
  <c r="D9" i="2"/>
  <c r="F6" i="2"/>
  <c r="E7" i="2"/>
  <c r="E4" i="2"/>
  <c r="E3" i="2"/>
  <c r="B3" i="2"/>
</calcChain>
</file>

<file path=xl/sharedStrings.xml><?xml version="1.0" encoding="utf-8"?>
<sst xmlns="http://schemas.openxmlformats.org/spreadsheetml/2006/main" count="403" uniqueCount="92">
  <si>
    <t>Negeri</t>
  </si>
  <si>
    <t>PBT</t>
  </si>
  <si>
    <t>Lokasi</t>
  </si>
  <si>
    <t>Bilangan Lampu</t>
  </si>
  <si>
    <t>Watt</t>
  </si>
  <si>
    <t>Ketinggian Tiang (m)</t>
  </si>
  <si>
    <t>Jabatan</t>
  </si>
  <si>
    <t>(RM)</t>
  </si>
  <si>
    <t>HPSV/SON</t>
  </si>
  <si>
    <t>LED</t>
  </si>
  <si>
    <t>Jenis Lampu Jalan</t>
  </si>
  <si>
    <t>Kaedah Selenggara</t>
  </si>
  <si>
    <t>Kos Selenggara</t>
  </si>
  <si>
    <t>MBS</t>
  </si>
  <si>
    <t>MAKLUMAT LAMPU JALAN</t>
  </si>
  <si>
    <t>LAMPU</t>
  </si>
  <si>
    <t>COMPOUND</t>
  </si>
  <si>
    <t>70W</t>
  </si>
  <si>
    <t>150W</t>
  </si>
  <si>
    <t>250W</t>
  </si>
  <si>
    <t>MANTIN</t>
  </si>
  <si>
    <t>LABU</t>
  </si>
  <si>
    <t>LENGGENG</t>
  </si>
  <si>
    <t>ULU BERANANG</t>
  </si>
  <si>
    <t>BROGA</t>
  </si>
  <si>
    <t>BANDAR NILAI</t>
  </si>
  <si>
    <t>PAJAM</t>
  </si>
  <si>
    <t>KOTA SERIEMAS</t>
  </si>
  <si>
    <t>BANDAR ENSTEK</t>
  </si>
  <si>
    <t>TNB</t>
  </si>
  <si>
    <t>Lain/Lain</t>
  </si>
  <si>
    <t>120W</t>
  </si>
  <si>
    <t>180W</t>
  </si>
  <si>
    <t>/</t>
  </si>
  <si>
    <t>SENAWANG</t>
  </si>
  <si>
    <t>SEREMBAN 2</t>
  </si>
  <si>
    <t>AMPANGAN</t>
  </si>
  <si>
    <t>RANTAU</t>
  </si>
  <si>
    <t>PANTAI</t>
  </si>
  <si>
    <t>SENDAYAN</t>
  </si>
  <si>
    <t>N.SEMB</t>
  </si>
  <si>
    <t>BANDAR 
NILAI</t>
  </si>
  <si>
    <t>KOTA 
SERIEMAS</t>
  </si>
  <si>
    <t>BANDAR 
ENSTEK</t>
  </si>
  <si>
    <t>son bulb</t>
  </si>
  <si>
    <t>70w = 586</t>
  </si>
  <si>
    <t>150w = 643</t>
  </si>
  <si>
    <t>250w = 832</t>
  </si>
  <si>
    <t>120w = 1200</t>
  </si>
  <si>
    <t>180w= 1600</t>
  </si>
  <si>
    <t>Gaji H19</t>
  </si>
  <si>
    <t>Gaji per month</t>
  </si>
  <si>
    <t>Gaji H11</t>
  </si>
  <si>
    <t>3 pers</t>
  </si>
  <si>
    <t>11 pers</t>
  </si>
  <si>
    <t>per day</t>
  </si>
  <si>
    <t>basic opcost</t>
  </si>
  <si>
    <t>equip cost</t>
  </si>
  <si>
    <r>
      <rPr>
        <b/>
        <sz val="16"/>
        <color theme="1"/>
        <rFont val="Calibri"/>
        <family val="2"/>
        <scheme val="minor"/>
      </rPr>
      <t xml:space="preserve">Diesel </t>
    </r>
    <r>
      <rPr>
        <sz val="16"/>
        <color theme="1"/>
        <rFont val="Calibri"/>
        <family val="2"/>
        <scheme val="minor"/>
      </rPr>
      <t xml:space="preserve">
(RM2.1/L) 4000km/month 40L/100km</t>
    </r>
  </si>
  <si>
    <t>Manpower</t>
  </si>
  <si>
    <r>
      <rPr>
        <b/>
        <sz val="16"/>
        <color theme="1"/>
        <rFont val="Calibri"/>
        <family val="2"/>
        <scheme val="minor"/>
      </rPr>
      <t>LED</t>
    </r>
    <r>
      <rPr>
        <sz val="16"/>
        <color theme="1"/>
        <rFont val="Calibri"/>
        <family val="2"/>
        <scheme val="minor"/>
      </rPr>
      <t xml:space="preserve">
(1 DAY = 0.4 LED)</t>
    </r>
  </si>
  <si>
    <r>
      <rPr>
        <b/>
        <sz val="16"/>
        <color theme="1"/>
        <rFont val="Calibri"/>
        <family val="2"/>
        <scheme val="minor"/>
      </rPr>
      <t>SON</t>
    </r>
    <r>
      <rPr>
        <sz val="16"/>
        <color theme="1"/>
        <rFont val="Calibri"/>
        <family val="2"/>
        <scheme val="minor"/>
      </rPr>
      <t xml:space="preserve">
(1 DAY = 0.5 SON)</t>
    </r>
  </si>
  <si>
    <r>
      <t>Fuse 60A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SON</t>
    </r>
    <r>
      <rPr>
        <sz val="16"/>
        <color theme="1"/>
        <rFont val="Calibri"/>
        <family val="2"/>
        <scheme val="minor"/>
      </rPr>
      <t xml:space="preserve">
(RM85/NOS)</t>
    </r>
  </si>
  <si>
    <r>
      <t>Fuse 60A LED</t>
    </r>
    <r>
      <rPr>
        <sz val="16"/>
        <color theme="1"/>
        <rFont val="Calibri"/>
        <family val="2"/>
        <scheme val="minor"/>
      </rPr>
      <t xml:space="preserve">
(RM85/NOS)</t>
    </r>
  </si>
  <si>
    <t>SON</t>
  </si>
  <si>
    <r>
      <t xml:space="preserve">OVERHEAD SON
</t>
    </r>
    <r>
      <rPr>
        <sz val="16"/>
        <color theme="1"/>
        <rFont val="Calibri"/>
        <family val="2"/>
        <scheme val="minor"/>
      </rPr>
      <t>(1 DAY = 0.16 O/H) 35M/OH</t>
    </r>
    <r>
      <rPr>
        <b/>
        <sz val="16"/>
        <color theme="1"/>
        <rFont val="Calibri"/>
        <family val="2"/>
        <scheme val="minor"/>
      </rPr>
      <t xml:space="preserve"> 60rm/m</t>
    </r>
  </si>
  <si>
    <r>
      <t xml:space="preserve">OVERHEAD LED
</t>
    </r>
    <r>
      <rPr>
        <sz val="16"/>
        <color theme="1"/>
        <rFont val="Calibri"/>
        <family val="2"/>
        <scheme val="minor"/>
      </rPr>
      <t>(1 DAY = 0.15 O/H) 35M/OH 6</t>
    </r>
    <r>
      <rPr>
        <b/>
        <sz val="16"/>
        <color theme="1"/>
        <rFont val="Calibri"/>
        <family val="2"/>
        <scheme val="minor"/>
      </rPr>
      <t>0rm/m</t>
    </r>
  </si>
  <si>
    <t>per year</t>
  </si>
  <si>
    <t>per day son</t>
  </si>
  <si>
    <t>per day led</t>
  </si>
  <si>
    <t>FUSE 60A</t>
  </si>
  <si>
    <t>100W</t>
  </si>
  <si>
    <t>FUSE 100A</t>
  </si>
  <si>
    <t>MENTOL 150W</t>
  </si>
  <si>
    <t>IGNITOR</t>
  </si>
  <si>
    <t>TIMER</t>
  </si>
  <si>
    <t>LANTERN</t>
  </si>
  <si>
    <t>MENTOL 70W</t>
  </si>
  <si>
    <t>STOCK KELUAR 2021</t>
  </si>
  <si>
    <t>1 light</t>
  </si>
  <si>
    <t>2.5 man hour</t>
  </si>
  <si>
    <t>Manpower (per hour per pers)</t>
  </si>
  <si>
    <t>120w led</t>
  </si>
  <si>
    <t>180w led</t>
  </si>
  <si>
    <t>&lt;CALCS</t>
  </si>
  <si>
    <t>BANDAR SEREMBAN</t>
  </si>
  <si>
    <t>BUKIT KEPAYANG</t>
  </si>
  <si>
    <t>RASAH</t>
  </si>
  <si>
    <t>SIKAMAT</t>
  </si>
  <si>
    <t>MAJLIS BANDARAYA SEREMBAN</t>
  </si>
  <si>
    <t>Jumlah Lampu</t>
  </si>
  <si>
    <t>Jumlah keseluruhan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</si>
</sst>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7" fillId="0" borderId="0" applyFont="0" applyFill="0" applyBorder="0" applyAlignment="0" applyProtection="0"/>
  </cellStyleXfs>
  <cellXfs count="167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0" fillId="3" borderId="0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3" borderId="8" xfId="0" applyFont="1" applyFill="1" applyBorder="1" applyAlignment="1">
      <alignment horizontal="center" wrapText="1"/>
    </xf>
    <xf numFmtId="0" fontId="0" fillId="3" borderId="0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0" fontId="3" fillId="0" borderId="17" xfId="0" applyFont="1" applyBorder="1"/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4" fillId="4" borderId="1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4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0" fontId="6" fillId="2" borderId="15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2" borderId="16" xfId="1" applyFont="1" applyBorder="1" applyAlignment="1">
      <alignment horizontal="center" vertical="center" wrapText="1"/>
    </xf>
    <xf numFmtId="0" fontId="6" fillId="2" borderId="17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2" borderId="11" xfId="1" applyFont="1" applyBorder="1" applyAlignment="1">
      <alignment horizontal="center" vertical="center" wrapText="1"/>
    </xf>
    <xf numFmtId="0" fontId="6" fillId="2" borderId="12" xfId="1" applyFont="1" applyBorder="1" applyAlignment="1">
      <alignment horizontal="center" vertical="center" wrapText="1"/>
    </xf>
    <xf numFmtId="0" fontId="6" fillId="2" borderId="13" xfId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0" xfId="0" applyFont="1" applyAlignment="1">
      <alignment horizontal="right" vertical="center"/>
    </xf>
    <xf numFmtId="1" fontId="3" fillId="0" borderId="0" xfId="0" applyNumberFormat="1" applyFont="1" applyAlignment="1">
      <alignment vertical="top"/>
    </xf>
    <xf numFmtId="1" fontId="3" fillId="0" borderId="0" xfId="0" applyNumberFormat="1" applyFont="1"/>
    <xf numFmtId="165" fontId="3" fillId="0" borderId="0" xfId="2" applyNumberFormat="1" applyFont="1"/>
    <xf numFmtId="1" fontId="3" fillId="0" borderId="0" xfId="0" applyNumberFormat="1" applyFont="1" applyAlignment="1">
      <alignment wrapText="1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0" xfId="2" applyFo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" fontId="4" fillId="0" borderId="0" xfId="0" applyNumberFormat="1" applyFont="1"/>
    <xf numFmtId="1" fontId="4" fillId="0" borderId="0" xfId="0" applyNumberFormat="1" applyFont="1" applyAlignment="1">
      <alignment vertical="center"/>
    </xf>
    <xf numFmtId="165" fontId="5" fillId="0" borderId="1" xfId="2" applyNumberFormat="1" applyFont="1" applyBorder="1" applyAlignment="1">
      <alignment vertical="center"/>
    </xf>
    <xf numFmtId="0" fontId="3" fillId="0" borderId="0" xfId="0" applyFont="1" applyAlignment="1">
      <alignment horizontal="right" wrapText="1"/>
    </xf>
    <xf numFmtId="166" fontId="4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12" xfId="2" applyNumberFormat="1" applyFont="1" applyBorder="1" applyAlignment="1">
      <alignment vertical="center"/>
    </xf>
    <xf numFmtId="165" fontId="5" fillId="0" borderId="17" xfId="2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6" fillId="2" borderId="18" xfId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2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6" fillId="2" borderId="26" xfId="1" applyFont="1" applyBorder="1" applyAlignment="1">
      <alignment horizontal="center" vertical="center" wrapText="1"/>
    </xf>
    <xf numFmtId="0" fontId="6" fillId="2" borderId="22" xfId="1" applyFont="1" applyBorder="1" applyAlignment="1">
      <alignment horizontal="center" vertical="center" wrapText="1"/>
    </xf>
    <xf numFmtId="0" fontId="6" fillId="2" borderId="27" xfId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22" xfId="0" applyFont="1" applyBorder="1"/>
    <xf numFmtId="165" fontId="5" fillId="0" borderId="22" xfId="2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164" fontId="5" fillId="0" borderId="1" xfId="2" applyFont="1" applyBorder="1"/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164" fontId="5" fillId="0" borderId="12" xfId="2" applyFont="1" applyBorder="1"/>
    <xf numFmtId="0" fontId="3" fillId="5" borderId="17" xfId="0" applyFont="1" applyFill="1" applyBorder="1" applyAlignment="1">
      <alignment horizontal="center" wrapText="1"/>
    </xf>
    <xf numFmtId="164" fontId="5" fillId="0" borderId="17" xfId="2" applyFont="1" applyBorder="1"/>
    <xf numFmtId="0" fontId="5" fillId="0" borderId="1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22" xfId="2" applyFont="1" applyBorder="1"/>
    <xf numFmtId="0" fontId="5" fillId="0" borderId="22" xfId="0" applyFont="1" applyBorder="1" applyAlignment="1">
      <alignment wrapText="1"/>
    </xf>
    <xf numFmtId="0" fontId="3" fillId="5" borderId="22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10" xfId="0" applyFont="1" applyBorder="1"/>
    <xf numFmtId="164" fontId="5" fillId="0" borderId="10" xfId="2" applyFont="1" applyBorder="1"/>
    <xf numFmtId="0" fontId="5" fillId="0" borderId="17" xfId="0" applyFont="1" applyBorder="1" applyAlignment="1">
      <alignment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164" fontId="4" fillId="4" borderId="12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164" fontId="5" fillId="0" borderId="0" xfId="2" applyFont="1" applyBorder="1"/>
    <xf numFmtId="0" fontId="3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1" xfId="2" applyFont="1" applyFill="1" applyBorder="1" applyAlignment="1">
      <alignment horizontal="center" vertical="center" wrapText="1"/>
    </xf>
    <xf numFmtId="164" fontId="4" fillId="4" borderId="1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3">
    <cellStyle name="Accent3" xfId="1" builtinId="37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tabSelected="1" zoomScale="40" zoomScaleNormal="40" workbookViewId="0">
      <selection activeCell="AB8" sqref="AB8"/>
    </sheetView>
  </sheetViews>
  <sheetFormatPr defaultRowHeight="50.1" customHeight="1" x14ac:dyDescent="0.35"/>
  <cols>
    <col min="1" max="1" width="16.140625" style="18" customWidth="1"/>
    <col min="2" max="2" width="11.28515625" style="18" bestFit="1" customWidth="1"/>
    <col min="3" max="3" width="25.85546875" style="18" bestFit="1" customWidth="1"/>
    <col min="4" max="8" width="18.7109375" style="19" customWidth="1"/>
    <col min="9" max="9" width="18.7109375" style="19" bestFit="1" customWidth="1"/>
    <col min="10" max="10" width="15.140625" style="45" bestFit="1" customWidth="1"/>
    <col min="11" max="11" width="17.7109375" style="18" customWidth="1"/>
    <col min="12" max="12" width="19" style="72" hidden="1" customWidth="1"/>
    <col min="13" max="13" width="9.140625" style="18"/>
    <col min="14" max="14" width="22.42578125" style="18" customWidth="1"/>
    <col min="15" max="15" width="9.140625" style="18"/>
    <col min="16" max="17" width="22.28515625" style="18" hidden="1" customWidth="1"/>
    <col min="18" max="18" width="50.5703125" style="20" hidden="1" customWidth="1"/>
    <col min="19" max="19" width="22.28515625" style="18" hidden="1" customWidth="1"/>
    <col min="20" max="20" width="20.28515625" style="18" customWidth="1"/>
    <col min="21" max="16384" width="9.140625" style="18"/>
  </cols>
  <sheetData>
    <row r="1" spans="1:20" ht="23.25" x14ac:dyDescent="0.35">
      <c r="A1" s="21" t="s">
        <v>14</v>
      </c>
    </row>
    <row r="2" spans="1:20" ht="23.25" x14ac:dyDescent="0.35">
      <c r="A2" s="18" t="s">
        <v>89</v>
      </c>
      <c r="R2" s="49" t="s">
        <v>68</v>
      </c>
      <c r="S2" s="77">
        <v>1868.5</v>
      </c>
    </row>
    <row r="3" spans="1:20" ht="27" customHeight="1" thickBot="1" x14ac:dyDescent="0.4">
      <c r="R3" s="50" t="s">
        <v>69</v>
      </c>
      <c r="S3" s="78">
        <v>1696.9</v>
      </c>
      <c r="T3" s="18" t="s">
        <v>84</v>
      </c>
    </row>
    <row r="4" spans="1:20" s="21" customFormat="1" ht="50.1" customHeight="1" thickBot="1" x14ac:dyDescent="0.4">
      <c r="A4" s="145" t="s">
        <v>0</v>
      </c>
      <c r="B4" s="148" t="s">
        <v>1</v>
      </c>
      <c r="C4" s="151" t="s">
        <v>2</v>
      </c>
      <c r="D4" s="154" t="s">
        <v>10</v>
      </c>
      <c r="E4" s="155"/>
      <c r="F4" s="155"/>
      <c r="G4" s="155"/>
      <c r="H4" s="155"/>
      <c r="I4" s="156"/>
      <c r="J4" s="160" t="s">
        <v>11</v>
      </c>
      <c r="K4" s="148"/>
      <c r="L4" s="136" t="s">
        <v>12</v>
      </c>
      <c r="R4" s="50" t="s">
        <v>81</v>
      </c>
      <c r="S4" s="81">
        <f>1070/8/14</f>
        <v>9.5535714285714288</v>
      </c>
    </row>
    <row r="5" spans="1:20" s="23" customFormat="1" ht="50.1" customHeight="1" x14ac:dyDescent="0.35">
      <c r="A5" s="146"/>
      <c r="B5" s="149"/>
      <c r="C5" s="152"/>
      <c r="D5" s="145" t="s">
        <v>8</v>
      </c>
      <c r="E5" s="148"/>
      <c r="F5" s="151"/>
      <c r="G5" s="145" t="s">
        <v>9</v>
      </c>
      <c r="H5" s="148"/>
      <c r="I5" s="151"/>
      <c r="J5" s="158" t="s">
        <v>6</v>
      </c>
      <c r="K5" s="149" t="s">
        <v>30</v>
      </c>
      <c r="L5" s="161" t="s">
        <v>7</v>
      </c>
      <c r="R5" s="20"/>
      <c r="S5" s="18"/>
    </row>
    <row r="6" spans="1:20" s="23" customFormat="1" ht="78" customHeight="1" thickBot="1" x14ac:dyDescent="0.4">
      <c r="A6" s="147"/>
      <c r="B6" s="150"/>
      <c r="C6" s="153"/>
      <c r="D6" s="28" t="s">
        <v>3</v>
      </c>
      <c r="E6" s="26" t="s">
        <v>4</v>
      </c>
      <c r="F6" s="25" t="s">
        <v>5</v>
      </c>
      <c r="G6" s="28" t="s">
        <v>3</v>
      </c>
      <c r="H6" s="26" t="s">
        <v>4</v>
      </c>
      <c r="I6" s="25" t="s">
        <v>5</v>
      </c>
      <c r="J6" s="159"/>
      <c r="K6" s="150"/>
      <c r="L6" s="162"/>
      <c r="P6" s="23" t="s">
        <v>44</v>
      </c>
      <c r="R6" s="80" t="s">
        <v>79</v>
      </c>
      <c r="S6" s="18" t="s">
        <v>80</v>
      </c>
    </row>
    <row r="7" spans="1:20" ht="50.1" customHeight="1" x14ac:dyDescent="0.35">
      <c r="A7" s="55" t="s">
        <v>40</v>
      </c>
      <c r="B7" s="56" t="s">
        <v>13</v>
      </c>
      <c r="C7" s="87" t="s">
        <v>41</v>
      </c>
      <c r="D7" s="57">
        <v>472</v>
      </c>
      <c r="E7" s="58" t="s">
        <v>17</v>
      </c>
      <c r="F7" s="85">
        <v>10</v>
      </c>
      <c r="G7" s="59"/>
      <c r="H7" s="60"/>
      <c r="I7" s="61"/>
      <c r="J7" s="62" t="s">
        <v>33</v>
      </c>
      <c r="K7" s="63"/>
      <c r="L7" s="83">
        <f>D7*0.18*(70+23.88)</f>
        <v>7976.0447999999988</v>
      </c>
      <c r="P7" s="18" t="s">
        <v>45</v>
      </c>
      <c r="Q7" s="18">
        <v>70</v>
      </c>
      <c r="S7" s="82">
        <f>2.5*S4</f>
        <v>23.883928571428573</v>
      </c>
    </row>
    <row r="8" spans="1:20" ht="50.1" customHeight="1" x14ac:dyDescent="0.35">
      <c r="A8" s="41" t="s">
        <v>40</v>
      </c>
      <c r="B8" s="42" t="s">
        <v>13</v>
      </c>
      <c r="C8" s="88" t="s">
        <v>41</v>
      </c>
      <c r="D8" s="29">
        <f>1948+24</f>
        <v>1972</v>
      </c>
      <c r="E8" s="30" t="s">
        <v>18</v>
      </c>
      <c r="F8" s="34">
        <v>10</v>
      </c>
      <c r="G8" s="31"/>
      <c r="H8" s="32"/>
      <c r="I8" s="33"/>
      <c r="J8" s="46" t="s">
        <v>33</v>
      </c>
      <c r="K8" s="22"/>
      <c r="L8" s="79">
        <f>D8*0.18*(75+23.88)</f>
        <v>35098.444799999997</v>
      </c>
      <c r="P8" s="18" t="s">
        <v>46</v>
      </c>
      <c r="Q8" s="18">
        <v>75</v>
      </c>
      <c r="R8" s="20" t="s">
        <v>82</v>
      </c>
      <c r="S8" s="18">
        <v>1100</v>
      </c>
    </row>
    <row r="9" spans="1:20" ht="50.1" customHeight="1" x14ac:dyDescent="0.35">
      <c r="A9" s="41" t="s">
        <v>40</v>
      </c>
      <c r="B9" s="42" t="s">
        <v>13</v>
      </c>
      <c r="C9" s="88" t="s">
        <v>41</v>
      </c>
      <c r="D9" s="29">
        <v>1570</v>
      </c>
      <c r="E9" s="30" t="s">
        <v>19</v>
      </c>
      <c r="F9" s="34">
        <v>12</v>
      </c>
      <c r="G9" s="31"/>
      <c r="H9" s="32"/>
      <c r="I9" s="33"/>
      <c r="J9" s="46" t="s">
        <v>33</v>
      </c>
      <c r="K9" s="22"/>
      <c r="L9" s="79">
        <f>D9*0.18*(80+23.88)</f>
        <v>29356.487999999994</v>
      </c>
      <c r="P9" s="18" t="s">
        <v>47</v>
      </c>
      <c r="Q9" s="18">
        <v>80</v>
      </c>
      <c r="R9" s="20" t="s">
        <v>83</v>
      </c>
      <c r="S9" s="18">
        <v>1400</v>
      </c>
    </row>
    <row r="10" spans="1:20" ht="50.1" customHeight="1" x14ac:dyDescent="0.35">
      <c r="A10" s="41" t="s">
        <v>40</v>
      </c>
      <c r="B10" s="42" t="s">
        <v>13</v>
      </c>
      <c r="C10" s="88" t="s">
        <v>41</v>
      </c>
      <c r="D10" s="31"/>
      <c r="E10" s="32"/>
      <c r="F10" s="33"/>
      <c r="G10" s="29">
        <v>175</v>
      </c>
      <c r="H10" s="30" t="s">
        <v>31</v>
      </c>
      <c r="I10" s="34">
        <v>10</v>
      </c>
      <c r="J10" s="46" t="s">
        <v>33</v>
      </c>
      <c r="K10" s="22"/>
      <c r="L10" s="79">
        <f>G10*0.023*(1000+23.88)</f>
        <v>4121.1170000000002</v>
      </c>
    </row>
    <row r="11" spans="1:20" ht="50.1" customHeight="1" thickBot="1" x14ac:dyDescent="0.4">
      <c r="A11" s="44" t="s">
        <v>40</v>
      </c>
      <c r="B11" s="43" t="s">
        <v>13</v>
      </c>
      <c r="C11" s="89" t="s">
        <v>41</v>
      </c>
      <c r="D11" s="36"/>
      <c r="E11" s="37"/>
      <c r="F11" s="86"/>
      <c r="G11" s="38">
        <v>56</v>
      </c>
      <c r="H11" s="39" t="s">
        <v>32</v>
      </c>
      <c r="I11" s="40">
        <v>12</v>
      </c>
      <c r="J11" s="47" t="s">
        <v>33</v>
      </c>
      <c r="K11" s="24"/>
      <c r="L11" s="84">
        <f>G11*0.023*(1400+23.88)</f>
        <v>1833.9574400000001</v>
      </c>
      <c r="P11" s="21" t="s">
        <v>9</v>
      </c>
    </row>
    <row r="12" spans="1:20" ht="50.1" customHeight="1" x14ac:dyDescent="0.35">
      <c r="A12" s="55" t="s">
        <v>40</v>
      </c>
      <c r="B12" s="56" t="s">
        <v>13</v>
      </c>
      <c r="C12" s="90" t="s">
        <v>20</v>
      </c>
      <c r="D12" s="57">
        <v>94</v>
      </c>
      <c r="E12" s="58" t="s">
        <v>17</v>
      </c>
      <c r="F12" s="85">
        <v>10</v>
      </c>
      <c r="G12" s="59"/>
      <c r="H12" s="60"/>
      <c r="I12" s="61"/>
      <c r="J12" s="62" t="s">
        <v>33</v>
      </c>
      <c r="K12" s="63"/>
      <c r="L12" s="83">
        <f>D12*0.18*(70+23.88)</f>
        <v>1588.4495999999997</v>
      </c>
      <c r="P12" s="18" t="s">
        <v>48</v>
      </c>
    </row>
    <row r="13" spans="1:20" ht="50.1" customHeight="1" x14ac:dyDescent="0.35">
      <c r="A13" s="41" t="s">
        <v>40</v>
      </c>
      <c r="B13" s="42" t="s">
        <v>13</v>
      </c>
      <c r="C13" s="91" t="s">
        <v>20</v>
      </c>
      <c r="D13" s="29">
        <v>360</v>
      </c>
      <c r="E13" s="30" t="s">
        <v>18</v>
      </c>
      <c r="F13" s="34">
        <v>10</v>
      </c>
      <c r="G13" s="31"/>
      <c r="H13" s="32"/>
      <c r="I13" s="33"/>
      <c r="J13" s="46" t="s">
        <v>33</v>
      </c>
      <c r="K13" s="22"/>
      <c r="L13" s="79">
        <f>D13*0.18*(75+23.88)</f>
        <v>6407.4239999999991</v>
      </c>
      <c r="P13" s="18" t="s">
        <v>49</v>
      </c>
    </row>
    <row r="14" spans="1:20" ht="50.1" customHeight="1" x14ac:dyDescent="0.35">
      <c r="A14" s="41" t="s">
        <v>40</v>
      </c>
      <c r="B14" s="42" t="s">
        <v>13</v>
      </c>
      <c r="C14" s="91" t="s">
        <v>20</v>
      </c>
      <c r="D14" s="29">
        <v>206</v>
      </c>
      <c r="E14" s="30" t="s">
        <v>19</v>
      </c>
      <c r="F14" s="34">
        <v>12</v>
      </c>
      <c r="G14" s="31"/>
      <c r="H14" s="32"/>
      <c r="I14" s="33"/>
      <c r="J14" s="46" t="s">
        <v>33</v>
      </c>
      <c r="K14" s="22"/>
      <c r="L14" s="79">
        <f>D14*0.18*(80+23.88)</f>
        <v>3851.8703999999998</v>
      </c>
    </row>
    <row r="15" spans="1:20" ht="50.1" customHeight="1" x14ac:dyDescent="0.35">
      <c r="A15" s="41" t="s">
        <v>40</v>
      </c>
      <c r="B15" s="42" t="s">
        <v>13</v>
      </c>
      <c r="C15" s="91" t="s">
        <v>20</v>
      </c>
      <c r="D15" s="31"/>
      <c r="E15" s="32"/>
      <c r="F15" s="33"/>
      <c r="G15" s="29">
        <f>74+10</f>
        <v>84</v>
      </c>
      <c r="H15" s="30" t="s">
        <v>31</v>
      </c>
      <c r="I15" s="34">
        <v>10</v>
      </c>
      <c r="J15" s="46" t="s">
        <v>33</v>
      </c>
      <c r="K15" s="22"/>
      <c r="L15" s="79">
        <f>G15*0.023*(1000+23.88)</f>
        <v>1978.13616</v>
      </c>
      <c r="P15" s="21" t="s">
        <v>51</v>
      </c>
    </row>
    <row r="16" spans="1:20" ht="50.1" customHeight="1" thickBot="1" x14ac:dyDescent="0.4">
      <c r="A16" s="44" t="s">
        <v>40</v>
      </c>
      <c r="B16" s="43" t="s">
        <v>13</v>
      </c>
      <c r="C16" s="92" t="s">
        <v>20</v>
      </c>
      <c r="D16" s="36"/>
      <c r="E16" s="37"/>
      <c r="F16" s="86"/>
      <c r="G16" s="38">
        <v>4</v>
      </c>
      <c r="H16" s="39" t="s">
        <v>32</v>
      </c>
      <c r="I16" s="40">
        <v>12</v>
      </c>
      <c r="J16" s="47" t="s">
        <v>33</v>
      </c>
      <c r="K16" s="24"/>
      <c r="L16" s="84">
        <f>G16*0.023*(1400+23.88)</f>
        <v>130.99696</v>
      </c>
      <c r="P16" s="18" t="s">
        <v>50</v>
      </c>
      <c r="Q16" s="48" t="s">
        <v>53</v>
      </c>
      <c r="R16" s="20">
        <v>3000</v>
      </c>
      <c r="S16" s="18">
        <f>R16*3</f>
        <v>9000</v>
      </c>
    </row>
    <row r="17" spans="1:19" ht="50.1" customHeight="1" x14ac:dyDescent="0.35">
      <c r="A17" s="55" t="s">
        <v>40</v>
      </c>
      <c r="B17" s="56" t="s">
        <v>13</v>
      </c>
      <c r="C17" s="90" t="s">
        <v>26</v>
      </c>
      <c r="D17" s="57">
        <f>127+72</f>
        <v>199</v>
      </c>
      <c r="E17" s="58" t="s">
        <v>18</v>
      </c>
      <c r="F17" s="85">
        <v>10</v>
      </c>
      <c r="G17" s="59"/>
      <c r="H17" s="60"/>
      <c r="I17" s="61"/>
      <c r="J17" s="62" t="s">
        <v>33</v>
      </c>
      <c r="K17" s="63"/>
      <c r="L17" s="83">
        <f>D17*0.18*(75+23.88)</f>
        <v>3541.8815999999997</v>
      </c>
      <c r="P17" s="18" t="s">
        <v>52</v>
      </c>
      <c r="Q17" s="48" t="s">
        <v>54</v>
      </c>
      <c r="R17" s="20">
        <v>2100</v>
      </c>
      <c r="S17" s="18">
        <f>2100*11</f>
        <v>23100</v>
      </c>
    </row>
    <row r="18" spans="1:19" ht="50.1" customHeight="1" x14ac:dyDescent="0.35">
      <c r="A18" s="41" t="s">
        <v>40</v>
      </c>
      <c r="B18" s="42" t="s">
        <v>13</v>
      </c>
      <c r="C18" s="91" t="s">
        <v>26</v>
      </c>
      <c r="D18" s="29">
        <v>50</v>
      </c>
      <c r="E18" s="30" t="s">
        <v>19</v>
      </c>
      <c r="F18" s="34">
        <v>12</v>
      </c>
      <c r="G18" s="31"/>
      <c r="H18" s="32"/>
      <c r="I18" s="33"/>
      <c r="J18" s="46" t="s">
        <v>33</v>
      </c>
      <c r="K18" s="22"/>
      <c r="L18" s="79">
        <f>D18*0.18*(80+23.88)</f>
        <v>934.92</v>
      </c>
      <c r="S18" s="18">
        <f>SUM(S16:S17)</f>
        <v>32100</v>
      </c>
    </row>
    <row r="19" spans="1:19" ht="50.1" customHeight="1" thickBot="1" x14ac:dyDescent="0.4">
      <c r="A19" s="44" t="s">
        <v>40</v>
      </c>
      <c r="B19" s="43" t="s">
        <v>13</v>
      </c>
      <c r="C19" s="92" t="s">
        <v>26</v>
      </c>
      <c r="D19" s="36"/>
      <c r="E19" s="37"/>
      <c r="F19" s="86"/>
      <c r="G19" s="38">
        <v>102</v>
      </c>
      <c r="H19" s="39" t="s">
        <v>31</v>
      </c>
      <c r="I19" s="40">
        <v>10</v>
      </c>
      <c r="J19" s="47" t="s">
        <v>33</v>
      </c>
      <c r="K19" s="24"/>
      <c r="L19" s="84">
        <f>G19*0.023*(1000+23.88)</f>
        <v>2402.0224800000001</v>
      </c>
      <c r="R19" s="49" t="s">
        <v>67</v>
      </c>
      <c r="S19" s="67">
        <f>12*S18</f>
        <v>385200</v>
      </c>
    </row>
    <row r="20" spans="1:19" ht="50.1" customHeight="1" x14ac:dyDescent="0.35">
      <c r="A20" s="55" t="s">
        <v>40</v>
      </c>
      <c r="B20" s="56" t="s">
        <v>13</v>
      </c>
      <c r="C20" s="90" t="s">
        <v>21</v>
      </c>
      <c r="D20" s="57">
        <v>16</v>
      </c>
      <c r="E20" s="58" t="s">
        <v>18</v>
      </c>
      <c r="F20" s="85">
        <v>10</v>
      </c>
      <c r="G20" s="59"/>
      <c r="H20" s="60"/>
      <c r="I20" s="61"/>
      <c r="J20" s="62" t="s">
        <v>33</v>
      </c>
      <c r="K20" s="63"/>
      <c r="L20" s="83">
        <f>D20*0.18*(75+23.88)</f>
        <v>284.77439999999996</v>
      </c>
    </row>
    <row r="21" spans="1:19" ht="50.1" customHeight="1" x14ac:dyDescent="0.35">
      <c r="A21" s="41" t="s">
        <v>40</v>
      </c>
      <c r="B21" s="42" t="s">
        <v>13</v>
      </c>
      <c r="C21" s="91" t="s">
        <v>21</v>
      </c>
      <c r="D21" s="29">
        <v>105</v>
      </c>
      <c r="E21" s="30" t="s">
        <v>19</v>
      </c>
      <c r="F21" s="34">
        <v>12</v>
      </c>
      <c r="G21" s="31"/>
      <c r="H21" s="32"/>
      <c r="I21" s="33"/>
      <c r="J21" s="46" t="s">
        <v>33</v>
      </c>
      <c r="K21" s="22"/>
      <c r="L21" s="79">
        <f>D21*0.18*(80+23.88)</f>
        <v>1963.3319999999999</v>
      </c>
    </row>
    <row r="22" spans="1:19" ht="50.1" customHeight="1" thickBot="1" x14ac:dyDescent="0.4">
      <c r="A22" s="44" t="s">
        <v>40</v>
      </c>
      <c r="B22" s="43" t="s">
        <v>13</v>
      </c>
      <c r="C22" s="92" t="s">
        <v>21</v>
      </c>
      <c r="D22" s="36"/>
      <c r="E22" s="37"/>
      <c r="F22" s="86"/>
      <c r="G22" s="38">
        <f>214+45+392</f>
        <v>651</v>
      </c>
      <c r="H22" s="39" t="s">
        <v>31</v>
      </c>
      <c r="I22" s="40">
        <v>10</v>
      </c>
      <c r="J22" s="47" t="s">
        <v>33</v>
      </c>
      <c r="K22" s="24"/>
      <c r="L22" s="84">
        <f>G22*0.023*(1000+23.88)</f>
        <v>15330.55524</v>
      </c>
      <c r="P22" s="54" t="s">
        <v>55</v>
      </c>
    </row>
    <row r="23" spans="1:19" ht="50.1" customHeight="1" x14ac:dyDescent="0.35">
      <c r="A23" s="55" t="s">
        <v>40</v>
      </c>
      <c r="B23" s="56" t="s">
        <v>13</v>
      </c>
      <c r="C23" s="87" t="s">
        <v>42</v>
      </c>
      <c r="D23" s="57">
        <v>226</v>
      </c>
      <c r="E23" s="58" t="s">
        <v>18</v>
      </c>
      <c r="F23" s="85">
        <v>10</v>
      </c>
      <c r="G23" s="59"/>
      <c r="H23" s="60"/>
      <c r="I23" s="61"/>
      <c r="J23" s="62" t="s">
        <v>33</v>
      </c>
      <c r="K23" s="63"/>
      <c r="L23" s="83">
        <f>D23*0.18*(75+23.88)</f>
        <v>4022.4384</v>
      </c>
      <c r="P23" s="54" t="s">
        <v>56</v>
      </c>
      <c r="R23" s="51" t="s">
        <v>59</v>
      </c>
      <c r="S23" s="53">
        <f>S18/30</f>
        <v>1070</v>
      </c>
    </row>
    <row r="24" spans="1:19" ht="50.1" customHeight="1" x14ac:dyDescent="0.35">
      <c r="A24" s="41" t="s">
        <v>40</v>
      </c>
      <c r="B24" s="42" t="s">
        <v>13</v>
      </c>
      <c r="C24" s="88" t="s">
        <v>42</v>
      </c>
      <c r="D24" s="29">
        <v>9</v>
      </c>
      <c r="E24" s="30" t="s">
        <v>19</v>
      </c>
      <c r="F24" s="34">
        <v>12</v>
      </c>
      <c r="G24" s="31"/>
      <c r="H24" s="32"/>
      <c r="I24" s="33"/>
      <c r="J24" s="46" t="s">
        <v>33</v>
      </c>
      <c r="K24" s="22"/>
      <c r="L24" s="79">
        <f>D24*0.18*(80+23.88)</f>
        <v>168.28559999999999</v>
      </c>
      <c r="P24" s="54"/>
      <c r="R24" s="163" t="s">
        <v>58</v>
      </c>
      <c r="S24" s="54">
        <f>(4000/100)*40*2.1</f>
        <v>3360</v>
      </c>
    </row>
    <row r="25" spans="1:19" ht="50.1" customHeight="1" thickBot="1" x14ac:dyDescent="0.4">
      <c r="A25" s="44" t="s">
        <v>40</v>
      </c>
      <c r="B25" s="43" t="s">
        <v>13</v>
      </c>
      <c r="C25" s="89" t="s">
        <v>42</v>
      </c>
      <c r="D25" s="36"/>
      <c r="E25" s="37"/>
      <c r="F25" s="86"/>
      <c r="G25" s="38">
        <v>354</v>
      </c>
      <c r="H25" s="39" t="s">
        <v>31</v>
      </c>
      <c r="I25" s="40">
        <v>10</v>
      </c>
      <c r="J25" s="47" t="s">
        <v>33</v>
      </c>
      <c r="K25" s="24"/>
      <c r="L25" s="84">
        <f>G25*0.023*(1000+23.88)</f>
        <v>8336.4309599999997</v>
      </c>
      <c r="P25" s="54"/>
      <c r="R25" s="163"/>
      <c r="S25" s="53">
        <f>S24/30</f>
        <v>112</v>
      </c>
    </row>
    <row r="26" spans="1:19" ht="50.1" customHeight="1" x14ac:dyDescent="0.35">
      <c r="A26" s="55" t="s">
        <v>40</v>
      </c>
      <c r="B26" s="56" t="s">
        <v>13</v>
      </c>
      <c r="C26" s="87" t="s">
        <v>43</v>
      </c>
      <c r="D26" s="57">
        <v>14</v>
      </c>
      <c r="E26" s="58" t="s">
        <v>17</v>
      </c>
      <c r="F26" s="85">
        <v>10</v>
      </c>
      <c r="G26" s="59"/>
      <c r="H26" s="60"/>
      <c r="I26" s="61"/>
      <c r="J26" s="62" t="s">
        <v>33</v>
      </c>
      <c r="K26" s="63"/>
      <c r="L26" s="83">
        <f>D26*0.18*(70+23.88)</f>
        <v>236.57759999999999</v>
      </c>
      <c r="P26" s="54"/>
      <c r="R26" s="52"/>
      <c r="S26" s="54"/>
    </row>
    <row r="27" spans="1:19" ht="50.1" customHeight="1" x14ac:dyDescent="0.35">
      <c r="A27" s="41" t="s">
        <v>40</v>
      </c>
      <c r="B27" s="42" t="s">
        <v>13</v>
      </c>
      <c r="C27" s="88" t="s">
        <v>43</v>
      </c>
      <c r="D27" s="29">
        <v>648</v>
      </c>
      <c r="E27" s="30" t="s">
        <v>18</v>
      </c>
      <c r="F27" s="34">
        <v>10</v>
      </c>
      <c r="G27" s="31"/>
      <c r="H27" s="32"/>
      <c r="I27" s="33"/>
      <c r="J27" s="46" t="s">
        <v>33</v>
      </c>
      <c r="K27" s="22"/>
      <c r="L27" s="79">
        <f>D27*0.18*(75+23.88)</f>
        <v>11533.3632</v>
      </c>
      <c r="P27" s="54" t="s">
        <v>57</v>
      </c>
      <c r="R27" s="51" t="s">
        <v>62</v>
      </c>
      <c r="S27" s="54">
        <f>85*0.3</f>
        <v>25.5</v>
      </c>
    </row>
    <row r="28" spans="1:19" ht="50.1" customHeight="1" x14ac:dyDescent="0.35">
      <c r="A28" s="41" t="s">
        <v>40</v>
      </c>
      <c r="B28" s="42" t="s">
        <v>13</v>
      </c>
      <c r="C28" s="88" t="s">
        <v>43</v>
      </c>
      <c r="D28" s="29">
        <v>98</v>
      </c>
      <c r="E28" s="30" t="s">
        <v>19</v>
      </c>
      <c r="F28" s="34">
        <v>12</v>
      </c>
      <c r="G28" s="31"/>
      <c r="H28" s="32"/>
      <c r="I28" s="33"/>
      <c r="J28" s="46" t="s">
        <v>33</v>
      </c>
      <c r="K28" s="22"/>
      <c r="L28" s="79">
        <f>D28*0.18*(80+23.88)</f>
        <v>1832.4431999999999</v>
      </c>
      <c r="P28" s="54"/>
      <c r="R28" s="51" t="s">
        <v>63</v>
      </c>
      <c r="S28" s="54">
        <f>0.04*85</f>
        <v>3.4</v>
      </c>
    </row>
    <row r="29" spans="1:19" ht="50.1" customHeight="1" thickBot="1" x14ac:dyDescent="0.4">
      <c r="A29" s="44" t="s">
        <v>40</v>
      </c>
      <c r="B29" s="43" t="s">
        <v>13</v>
      </c>
      <c r="C29" s="89" t="s">
        <v>43</v>
      </c>
      <c r="D29" s="36"/>
      <c r="E29" s="37"/>
      <c r="F29" s="86"/>
      <c r="G29" s="38">
        <v>76</v>
      </c>
      <c r="H29" s="39" t="s">
        <v>31</v>
      </c>
      <c r="I29" s="40">
        <v>10</v>
      </c>
      <c r="J29" s="47" t="s">
        <v>33</v>
      </c>
      <c r="K29" s="24"/>
      <c r="L29" s="84">
        <f>G29*0.023*(1000+23.88)</f>
        <v>1789.74224</v>
      </c>
      <c r="R29" s="20" t="s">
        <v>61</v>
      </c>
      <c r="S29" s="64">
        <v>325</v>
      </c>
    </row>
    <row r="30" spans="1:19" ht="50.1" customHeight="1" x14ac:dyDescent="0.35">
      <c r="A30" s="55" t="s">
        <v>40</v>
      </c>
      <c r="B30" s="56" t="s">
        <v>13</v>
      </c>
      <c r="C30" s="90" t="s">
        <v>22</v>
      </c>
      <c r="D30" s="57">
        <v>105</v>
      </c>
      <c r="E30" s="58" t="s">
        <v>18</v>
      </c>
      <c r="F30" s="85">
        <v>10</v>
      </c>
      <c r="G30" s="59"/>
      <c r="H30" s="60"/>
      <c r="I30" s="61"/>
      <c r="J30" s="62" t="s">
        <v>33</v>
      </c>
      <c r="K30" s="63"/>
      <c r="L30" s="83">
        <f>D30*0.18*(75+23.88)</f>
        <v>1868.8319999999999</v>
      </c>
      <c r="R30" s="20" t="s">
        <v>60</v>
      </c>
      <c r="S30" s="54">
        <f>1200*0.4</f>
        <v>480</v>
      </c>
    </row>
    <row r="31" spans="1:19" ht="50.1" customHeight="1" thickBot="1" x14ac:dyDescent="0.4">
      <c r="A31" s="44" t="s">
        <v>40</v>
      </c>
      <c r="B31" s="43" t="s">
        <v>13</v>
      </c>
      <c r="C31" s="92" t="s">
        <v>22</v>
      </c>
      <c r="D31" s="36"/>
      <c r="E31" s="37"/>
      <c r="F31" s="86"/>
      <c r="G31" s="38">
        <v>267</v>
      </c>
      <c r="H31" s="39" t="s">
        <v>31</v>
      </c>
      <c r="I31" s="40">
        <v>10</v>
      </c>
      <c r="J31" s="47" t="s">
        <v>33</v>
      </c>
      <c r="K31" s="24"/>
      <c r="L31" s="84">
        <f>G31*0.023*(1000+23.88)</f>
        <v>6287.6470799999997</v>
      </c>
      <c r="R31" s="157" t="s">
        <v>66</v>
      </c>
      <c r="S31" s="65">
        <f>0.015*35*60</f>
        <v>31.5</v>
      </c>
    </row>
    <row r="32" spans="1:19" ht="50.1" customHeight="1" x14ac:dyDescent="0.35">
      <c r="A32" s="55" t="s">
        <v>40</v>
      </c>
      <c r="B32" s="56" t="s">
        <v>13</v>
      </c>
      <c r="C32" s="90" t="s">
        <v>34</v>
      </c>
      <c r="D32" s="57">
        <v>13</v>
      </c>
      <c r="E32" s="58" t="s">
        <v>17</v>
      </c>
      <c r="F32" s="85">
        <v>10</v>
      </c>
      <c r="G32" s="59"/>
      <c r="H32" s="60"/>
      <c r="I32" s="61"/>
      <c r="J32" s="62" t="s">
        <v>33</v>
      </c>
      <c r="K32" s="63"/>
      <c r="L32" s="83">
        <f>D32*0.18*(70+23.88)</f>
        <v>219.67919999999998</v>
      </c>
      <c r="R32" s="157"/>
      <c r="S32" s="54"/>
    </row>
    <row r="33" spans="1:19" ht="50.1" customHeight="1" x14ac:dyDescent="0.35">
      <c r="A33" s="41" t="s">
        <v>40</v>
      </c>
      <c r="B33" s="42" t="s">
        <v>13</v>
      </c>
      <c r="C33" s="91" t="s">
        <v>34</v>
      </c>
      <c r="D33" s="35">
        <v>1830</v>
      </c>
      <c r="E33" s="30" t="s">
        <v>18</v>
      </c>
      <c r="F33" s="34">
        <v>10</v>
      </c>
      <c r="G33" s="31"/>
      <c r="H33" s="32"/>
      <c r="I33" s="33"/>
      <c r="J33" s="46" t="s">
        <v>33</v>
      </c>
      <c r="K33" s="22"/>
      <c r="L33" s="79">
        <f>D33*0.18*(75+23.88)</f>
        <v>32571.071999999996</v>
      </c>
      <c r="R33" s="157" t="s">
        <v>65</v>
      </c>
      <c r="S33" s="54">
        <f>0.16*35*60</f>
        <v>336.00000000000006</v>
      </c>
    </row>
    <row r="34" spans="1:19" ht="50.1" customHeight="1" x14ac:dyDescent="0.35">
      <c r="A34" s="41" t="s">
        <v>40</v>
      </c>
      <c r="B34" s="42" t="s">
        <v>13</v>
      </c>
      <c r="C34" s="91" t="s">
        <v>34</v>
      </c>
      <c r="D34" s="29">
        <v>1173</v>
      </c>
      <c r="E34" s="30" t="s">
        <v>19</v>
      </c>
      <c r="F34" s="34">
        <v>12</v>
      </c>
      <c r="G34" s="31"/>
      <c r="H34" s="32"/>
      <c r="I34" s="33"/>
      <c r="J34" s="46" t="s">
        <v>33</v>
      </c>
      <c r="K34" s="22"/>
      <c r="L34" s="79">
        <f>D34*0.18*(80+23.88)</f>
        <v>21933.223199999997</v>
      </c>
      <c r="R34" s="157"/>
    </row>
    <row r="35" spans="1:19" ht="50.1" customHeight="1" thickBot="1" x14ac:dyDescent="0.4">
      <c r="A35" s="41" t="s">
        <v>40</v>
      </c>
      <c r="B35" s="42" t="s">
        <v>13</v>
      </c>
      <c r="C35" s="91" t="s">
        <v>34</v>
      </c>
      <c r="D35" s="133"/>
      <c r="E35" s="134"/>
      <c r="F35" s="135"/>
      <c r="G35" s="38">
        <v>296</v>
      </c>
      <c r="H35" s="39" t="s">
        <v>31</v>
      </c>
      <c r="I35" s="40">
        <v>10</v>
      </c>
      <c r="J35" s="104"/>
      <c r="K35" s="105"/>
      <c r="L35" s="106"/>
      <c r="R35" s="94"/>
    </row>
    <row r="36" spans="1:19" ht="50.1" customHeight="1" thickBot="1" x14ac:dyDescent="0.4">
      <c r="A36" s="44" t="s">
        <v>40</v>
      </c>
      <c r="B36" s="43" t="s">
        <v>13</v>
      </c>
      <c r="C36" s="92" t="s">
        <v>34</v>
      </c>
      <c r="D36" s="36"/>
      <c r="E36" s="37"/>
      <c r="F36" s="86"/>
      <c r="G36" s="38">
        <v>326</v>
      </c>
      <c r="H36" s="39" t="s">
        <v>32</v>
      </c>
      <c r="I36" s="40">
        <v>10</v>
      </c>
      <c r="J36" s="47" t="s">
        <v>33</v>
      </c>
      <c r="K36" s="24"/>
      <c r="L36" s="84">
        <f>G36*0.023*(1000+23.88)</f>
        <v>7677.05224</v>
      </c>
    </row>
    <row r="37" spans="1:19" ht="50.1" customHeight="1" x14ac:dyDescent="0.35">
      <c r="A37" s="55" t="s">
        <v>40</v>
      </c>
      <c r="B37" s="56" t="s">
        <v>13</v>
      </c>
      <c r="C37" s="90" t="s">
        <v>35</v>
      </c>
      <c r="D37" s="57">
        <v>98</v>
      </c>
      <c r="E37" s="58" t="s">
        <v>17</v>
      </c>
      <c r="F37" s="85">
        <v>10</v>
      </c>
      <c r="G37" s="59"/>
      <c r="H37" s="60"/>
      <c r="I37" s="61"/>
      <c r="J37" s="62" t="s">
        <v>33</v>
      </c>
      <c r="K37" s="63"/>
      <c r="L37" s="83">
        <f>D37*0.18*(70+23.88)</f>
        <v>1656.0432000000001</v>
      </c>
      <c r="S37" s="66"/>
    </row>
    <row r="38" spans="1:19" ht="50.1" customHeight="1" x14ac:dyDescent="0.35">
      <c r="A38" s="41" t="s">
        <v>40</v>
      </c>
      <c r="B38" s="42" t="s">
        <v>13</v>
      </c>
      <c r="C38" s="91" t="s">
        <v>35</v>
      </c>
      <c r="D38" s="29">
        <v>1828</v>
      </c>
      <c r="E38" s="30" t="s">
        <v>18</v>
      </c>
      <c r="F38" s="34">
        <v>10</v>
      </c>
      <c r="G38" s="31"/>
      <c r="H38" s="32"/>
      <c r="I38" s="33"/>
      <c r="J38" s="46" t="s">
        <v>33</v>
      </c>
      <c r="K38" s="22"/>
      <c r="L38" s="79">
        <f>D38*0.18*(75+23.88)</f>
        <v>32535.475199999993</v>
      </c>
      <c r="R38" s="68"/>
    </row>
    <row r="39" spans="1:19" ht="50.1" customHeight="1" x14ac:dyDescent="0.35">
      <c r="A39" s="41" t="s">
        <v>40</v>
      </c>
      <c r="B39" s="42" t="s">
        <v>13</v>
      </c>
      <c r="C39" s="91" t="s">
        <v>35</v>
      </c>
      <c r="D39" s="29">
        <v>1224</v>
      </c>
      <c r="E39" s="30" t="s">
        <v>19</v>
      </c>
      <c r="F39" s="34">
        <v>12</v>
      </c>
      <c r="G39" s="31"/>
      <c r="H39" s="32"/>
      <c r="I39" s="33"/>
      <c r="J39" s="46" t="s">
        <v>33</v>
      </c>
      <c r="K39" s="22"/>
      <c r="L39" s="79">
        <f>D39*0.18*(80+23.88)</f>
        <v>22886.8416</v>
      </c>
    </row>
    <row r="40" spans="1:19" ht="50.1" customHeight="1" x14ac:dyDescent="0.35">
      <c r="A40" s="41" t="s">
        <v>40</v>
      </c>
      <c r="B40" s="42" t="s">
        <v>13</v>
      </c>
      <c r="C40" s="91" t="s">
        <v>35</v>
      </c>
      <c r="D40" s="31"/>
      <c r="E40" s="32"/>
      <c r="F40" s="33"/>
      <c r="G40" s="29">
        <v>463</v>
      </c>
      <c r="H40" s="30" t="s">
        <v>31</v>
      </c>
      <c r="I40" s="34">
        <v>10</v>
      </c>
      <c r="J40" s="46" t="s">
        <v>33</v>
      </c>
      <c r="K40" s="22"/>
      <c r="L40" s="79">
        <f>G40*0.023*(1000+23.88)</f>
        <v>10903.298119999999</v>
      </c>
    </row>
    <row r="41" spans="1:19" ht="50.1" customHeight="1" thickBot="1" x14ac:dyDescent="0.4">
      <c r="A41" s="44" t="s">
        <v>40</v>
      </c>
      <c r="B41" s="43" t="s">
        <v>13</v>
      </c>
      <c r="C41" s="92" t="s">
        <v>35</v>
      </c>
      <c r="D41" s="36"/>
      <c r="E41" s="37"/>
      <c r="F41" s="86"/>
      <c r="G41" s="38">
        <v>809</v>
      </c>
      <c r="H41" s="39" t="s">
        <v>32</v>
      </c>
      <c r="I41" s="40">
        <v>10</v>
      </c>
      <c r="J41" s="47" t="s">
        <v>33</v>
      </c>
      <c r="K41" s="24"/>
      <c r="L41" s="84">
        <f>G41*0.023*(1400+23.88)</f>
        <v>26494.135160000002</v>
      </c>
    </row>
    <row r="42" spans="1:19" ht="50.1" customHeight="1" x14ac:dyDescent="0.35">
      <c r="A42" s="55" t="s">
        <v>40</v>
      </c>
      <c r="B42" s="56" t="s">
        <v>13</v>
      </c>
      <c r="C42" s="90" t="s">
        <v>39</v>
      </c>
      <c r="D42" s="57">
        <v>5</v>
      </c>
      <c r="E42" s="58" t="s">
        <v>17</v>
      </c>
      <c r="F42" s="85">
        <v>10</v>
      </c>
      <c r="G42" s="59"/>
      <c r="H42" s="60"/>
      <c r="I42" s="61"/>
      <c r="J42" s="62" t="s">
        <v>33</v>
      </c>
      <c r="K42" s="63"/>
      <c r="L42" s="83">
        <f>D42*0.18*(70+23.88)</f>
        <v>84.49199999999999</v>
      </c>
    </row>
    <row r="43" spans="1:19" ht="50.1" customHeight="1" x14ac:dyDescent="0.35">
      <c r="A43" s="41" t="s">
        <v>40</v>
      </c>
      <c r="B43" s="42" t="s">
        <v>13</v>
      </c>
      <c r="C43" s="91" t="s">
        <v>39</v>
      </c>
      <c r="D43" s="29">
        <v>1467</v>
      </c>
      <c r="E43" s="30" t="s">
        <v>18</v>
      </c>
      <c r="F43" s="34">
        <v>10</v>
      </c>
      <c r="G43" s="31"/>
      <c r="H43" s="32"/>
      <c r="I43" s="33"/>
      <c r="J43" s="46" t="s">
        <v>33</v>
      </c>
      <c r="K43" s="22"/>
      <c r="L43" s="79">
        <f>D43*0.18*(75+23.88)</f>
        <v>26110.252799999998</v>
      </c>
    </row>
    <row r="44" spans="1:19" ht="50.1" customHeight="1" x14ac:dyDescent="0.35">
      <c r="A44" s="41" t="s">
        <v>40</v>
      </c>
      <c r="B44" s="42" t="s">
        <v>13</v>
      </c>
      <c r="C44" s="91" t="s">
        <v>39</v>
      </c>
      <c r="D44" s="29">
        <v>1604</v>
      </c>
      <c r="E44" s="30" t="s">
        <v>19</v>
      </c>
      <c r="F44" s="34">
        <v>12</v>
      </c>
      <c r="G44" s="31"/>
      <c r="H44" s="32"/>
      <c r="I44" s="33"/>
      <c r="J44" s="46" t="s">
        <v>33</v>
      </c>
      <c r="K44" s="22"/>
      <c r="L44" s="79">
        <f>D44*0.18*(80+23.88)</f>
        <v>29992.233599999996</v>
      </c>
    </row>
    <row r="45" spans="1:19" ht="50.1" customHeight="1" x14ac:dyDescent="0.35">
      <c r="A45" s="41" t="s">
        <v>40</v>
      </c>
      <c r="B45" s="42" t="s">
        <v>13</v>
      </c>
      <c r="C45" s="91" t="s">
        <v>39</v>
      </c>
      <c r="D45" s="31"/>
      <c r="E45" s="32"/>
      <c r="F45" s="33"/>
      <c r="G45" s="29">
        <f>410+50+19+78</f>
        <v>557</v>
      </c>
      <c r="H45" s="30" t="s">
        <v>31</v>
      </c>
      <c r="I45" s="34">
        <v>10</v>
      </c>
      <c r="J45" s="46" t="s">
        <v>33</v>
      </c>
      <c r="K45" s="22"/>
      <c r="L45" s="79">
        <f>G45*0.023*(1000+23.88)</f>
        <v>13116.92668</v>
      </c>
    </row>
    <row r="46" spans="1:19" ht="50.1" customHeight="1" thickBot="1" x14ac:dyDescent="0.4">
      <c r="A46" s="44" t="s">
        <v>40</v>
      </c>
      <c r="B46" s="43" t="s">
        <v>13</v>
      </c>
      <c r="C46" s="92" t="s">
        <v>39</v>
      </c>
      <c r="D46" s="36"/>
      <c r="E46" s="37"/>
      <c r="F46" s="86"/>
      <c r="G46" s="38">
        <f>65+35+4</f>
        <v>104</v>
      </c>
      <c r="H46" s="39" t="s">
        <v>32</v>
      </c>
      <c r="I46" s="40">
        <v>12</v>
      </c>
      <c r="J46" s="47" t="s">
        <v>33</v>
      </c>
      <c r="K46" s="24"/>
      <c r="L46" s="84">
        <f>G46*0.023*(1400+23.88)</f>
        <v>3405.9209599999999</v>
      </c>
    </row>
    <row r="47" spans="1:19" ht="50.1" customHeight="1" x14ac:dyDescent="0.35">
      <c r="A47" s="55" t="s">
        <v>40</v>
      </c>
      <c r="B47" s="56" t="s">
        <v>13</v>
      </c>
      <c r="C47" s="90" t="s">
        <v>37</v>
      </c>
      <c r="D47" s="57">
        <v>15</v>
      </c>
      <c r="E47" s="58" t="s">
        <v>17</v>
      </c>
      <c r="F47" s="85">
        <v>10</v>
      </c>
      <c r="G47" s="59"/>
      <c r="H47" s="60"/>
      <c r="I47" s="61"/>
      <c r="J47" s="62" t="s">
        <v>33</v>
      </c>
      <c r="K47" s="63"/>
      <c r="L47" s="83">
        <f>D47*0.18*(70+23.88)</f>
        <v>253.47599999999997</v>
      </c>
    </row>
    <row r="48" spans="1:19" ht="50.1" customHeight="1" x14ac:dyDescent="0.35">
      <c r="A48" s="41" t="s">
        <v>40</v>
      </c>
      <c r="B48" s="42" t="s">
        <v>13</v>
      </c>
      <c r="C48" s="91" t="s">
        <v>37</v>
      </c>
      <c r="D48" s="29">
        <v>91</v>
      </c>
      <c r="E48" s="30" t="s">
        <v>18</v>
      </c>
      <c r="F48" s="34">
        <v>10</v>
      </c>
      <c r="G48" s="31"/>
      <c r="H48" s="32"/>
      <c r="I48" s="33"/>
      <c r="J48" s="46" t="s">
        <v>33</v>
      </c>
      <c r="K48" s="22"/>
      <c r="L48" s="79">
        <f>D48*0.18*(75+23.88)</f>
        <v>1619.6543999999999</v>
      </c>
    </row>
    <row r="49" spans="1:12" ht="50.1" customHeight="1" x14ac:dyDescent="0.35">
      <c r="A49" s="41" t="s">
        <v>40</v>
      </c>
      <c r="B49" s="42" t="s">
        <v>13</v>
      </c>
      <c r="C49" s="91" t="s">
        <v>37</v>
      </c>
      <c r="D49" s="29">
        <v>93</v>
      </c>
      <c r="E49" s="30" t="s">
        <v>19</v>
      </c>
      <c r="F49" s="34">
        <v>12</v>
      </c>
      <c r="G49" s="31"/>
      <c r="H49" s="32"/>
      <c r="I49" s="33"/>
      <c r="J49" s="46" t="s">
        <v>33</v>
      </c>
      <c r="K49" s="22"/>
      <c r="L49" s="79">
        <f>D49*0.18*(80+23.88)</f>
        <v>1738.9511999999997</v>
      </c>
    </row>
    <row r="50" spans="1:12" ht="50.1" customHeight="1" thickBot="1" x14ac:dyDescent="0.4">
      <c r="A50" s="95" t="s">
        <v>40</v>
      </c>
      <c r="B50" s="96" t="s">
        <v>13</v>
      </c>
      <c r="C50" s="97" t="s">
        <v>37</v>
      </c>
      <c r="D50" s="98"/>
      <c r="E50" s="99"/>
      <c r="F50" s="100"/>
      <c r="G50" s="101">
        <v>19</v>
      </c>
      <c r="H50" s="102" t="s">
        <v>31</v>
      </c>
      <c r="I50" s="103">
        <v>10</v>
      </c>
      <c r="J50" s="104" t="s">
        <v>33</v>
      </c>
      <c r="K50" s="105"/>
      <c r="L50" s="106">
        <f>G50*0.023*(1000+23.88)</f>
        <v>447.43556000000001</v>
      </c>
    </row>
    <row r="51" spans="1:12" ht="50.1" customHeight="1" x14ac:dyDescent="0.35">
      <c r="A51" s="55" t="s">
        <v>40</v>
      </c>
      <c r="B51" s="56" t="s">
        <v>13</v>
      </c>
      <c r="C51" s="116" t="s">
        <v>85</v>
      </c>
      <c r="D51" s="70">
        <v>200</v>
      </c>
      <c r="E51" s="70">
        <v>400</v>
      </c>
      <c r="F51" s="70">
        <v>12</v>
      </c>
      <c r="G51" s="112"/>
      <c r="H51" s="112"/>
      <c r="I51" s="112"/>
      <c r="J51" s="62" t="s">
        <v>33</v>
      </c>
      <c r="K51" s="63"/>
      <c r="L51" s="113"/>
    </row>
    <row r="52" spans="1:12" ht="50.1" customHeight="1" x14ac:dyDescent="0.35">
      <c r="A52" s="41" t="s">
        <v>40</v>
      </c>
      <c r="B52" s="42" t="s">
        <v>13</v>
      </c>
      <c r="C52" s="117" t="s">
        <v>85</v>
      </c>
      <c r="D52" s="71">
        <v>270</v>
      </c>
      <c r="E52" s="71">
        <v>250</v>
      </c>
      <c r="F52" s="71">
        <v>12</v>
      </c>
      <c r="G52" s="108"/>
      <c r="H52" s="108"/>
      <c r="I52" s="108"/>
      <c r="J52" s="46" t="s">
        <v>33</v>
      </c>
      <c r="K52" s="22"/>
      <c r="L52" s="109"/>
    </row>
    <row r="53" spans="1:12" ht="50.1" customHeight="1" x14ac:dyDescent="0.35">
      <c r="A53" s="41" t="s">
        <v>40</v>
      </c>
      <c r="B53" s="42" t="s">
        <v>13</v>
      </c>
      <c r="C53" s="117" t="s">
        <v>85</v>
      </c>
      <c r="D53" s="71">
        <v>759</v>
      </c>
      <c r="E53" s="71">
        <v>150</v>
      </c>
      <c r="F53" s="71">
        <v>10</v>
      </c>
      <c r="G53" s="108"/>
      <c r="H53" s="108"/>
      <c r="I53" s="108"/>
      <c r="J53" s="46" t="s">
        <v>33</v>
      </c>
      <c r="K53" s="22"/>
      <c r="L53" s="109"/>
    </row>
    <row r="54" spans="1:12" ht="50.1" customHeight="1" x14ac:dyDescent="0.35">
      <c r="A54" s="41" t="s">
        <v>40</v>
      </c>
      <c r="B54" s="42" t="s">
        <v>13</v>
      </c>
      <c r="C54" s="117" t="s">
        <v>85</v>
      </c>
      <c r="D54" s="110"/>
      <c r="E54" s="110"/>
      <c r="F54" s="110"/>
      <c r="G54" s="118">
        <v>18</v>
      </c>
      <c r="H54" s="111">
        <v>120</v>
      </c>
      <c r="I54" s="111">
        <v>10</v>
      </c>
      <c r="J54" s="46" t="s">
        <v>33</v>
      </c>
      <c r="K54" s="22"/>
      <c r="L54" s="109"/>
    </row>
    <row r="55" spans="1:12" ht="50.1" customHeight="1" thickBot="1" x14ac:dyDescent="0.4">
      <c r="A55" s="44" t="s">
        <v>40</v>
      </c>
      <c r="B55" s="43" t="s">
        <v>13</v>
      </c>
      <c r="C55" s="132" t="s">
        <v>85</v>
      </c>
      <c r="D55" s="114"/>
      <c r="E55" s="114"/>
      <c r="F55" s="114"/>
      <c r="G55" s="69">
        <v>309</v>
      </c>
      <c r="H55" s="69">
        <v>180</v>
      </c>
      <c r="I55" s="69">
        <v>12</v>
      </c>
      <c r="J55" s="47" t="s">
        <v>33</v>
      </c>
      <c r="K55" s="24"/>
      <c r="L55" s="115"/>
    </row>
    <row r="56" spans="1:12" ht="49.5" customHeight="1" x14ac:dyDescent="0.35">
      <c r="A56" s="125" t="s">
        <v>40</v>
      </c>
      <c r="B56" s="126" t="s">
        <v>13</v>
      </c>
      <c r="C56" s="124" t="s">
        <v>86</v>
      </c>
      <c r="D56" s="127">
        <v>540</v>
      </c>
      <c r="E56" s="127">
        <v>250</v>
      </c>
      <c r="F56" s="127">
        <v>12</v>
      </c>
      <c r="G56" s="128"/>
      <c r="H56" s="128"/>
      <c r="I56" s="128"/>
      <c r="J56" s="129" t="s">
        <v>33</v>
      </c>
      <c r="K56" s="130"/>
      <c r="L56" s="131"/>
    </row>
    <row r="57" spans="1:12" ht="50.1" customHeight="1" x14ac:dyDescent="0.35">
      <c r="A57" s="41" t="s">
        <v>40</v>
      </c>
      <c r="B57" s="42" t="s">
        <v>13</v>
      </c>
      <c r="C57" s="117" t="s">
        <v>86</v>
      </c>
      <c r="D57" s="71">
        <v>917</v>
      </c>
      <c r="E57" s="71">
        <v>150</v>
      </c>
      <c r="F57" s="71">
        <v>10</v>
      </c>
      <c r="G57" s="108"/>
      <c r="H57" s="108"/>
      <c r="I57" s="108"/>
      <c r="J57" s="46" t="s">
        <v>33</v>
      </c>
      <c r="K57" s="22"/>
      <c r="L57" s="109"/>
    </row>
    <row r="58" spans="1:12" ht="50.1" customHeight="1" x14ac:dyDescent="0.35">
      <c r="A58" s="41" t="s">
        <v>40</v>
      </c>
      <c r="B58" s="42" t="s">
        <v>13</v>
      </c>
      <c r="C58" s="117" t="s">
        <v>86</v>
      </c>
      <c r="D58" s="110"/>
      <c r="E58" s="110"/>
      <c r="F58" s="110"/>
      <c r="G58" s="118">
        <v>439</v>
      </c>
      <c r="H58" s="111">
        <v>120</v>
      </c>
      <c r="I58" s="111">
        <v>10</v>
      </c>
      <c r="J58" s="46" t="s">
        <v>33</v>
      </c>
      <c r="K58" s="22"/>
      <c r="L58" s="109"/>
    </row>
    <row r="59" spans="1:12" ht="50.1" customHeight="1" thickBot="1" x14ac:dyDescent="0.4">
      <c r="A59" s="95" t="s">
        <v>40</v>
      </c>
      <c r="B59" s="96" t="s">
        <v>13</v>
      </c>
      <c r="C59" s="120" t="s">
        <v>86</v>
      </c>
      <c r="D59" s="121"/>
      <c r="E59" s="121"/>
      <c r="F59" s="121"/>
      <c r="G59" s="107">
        <v>265</v>
      </c>
      <c r="H59" s="107">
        <v>180</v>
      </c>
      <c r="I59" s="107">
        <v>12</v>
      </c>
      <c r="J59" s="104" t="s">
        <v>33</v>
      </c>
      <c r="K59" s="105"/>
      <c r="L59" s="119"/>
    </row>
    <row r="60" spans="1:12" ht="50.1" customHeight="1" x14ac:dyDescent="0.35">
      <c r="A60" s="55" t="s">
        <v>40</v>
      </c>
      <c r="B60" s="56" t="s">
        <v>13</v>
      </c>
      <c r="C60" s="122" t="s">
        <v>87</v>
      </c>
      <c r="D60" s="70">
        <v>110</v>
      </c>
      <c r="E60" s="70">
        <v>250</v>
      </c>
      <c r="F60" s="70">
        <v>12</v>
      </c>
      <c r="G60" s="112"/>
      <c r="H60" s="112"/>
      <c r="I60" s="112"/>
      <c r="J60" s="62" t="s">
        <v>33</v>
      </c>
      <c r="K60" s="63"/>
      <c r="L60" s="113"/>
    </row>
    <row r="61" spans="1:12" ht="50.1" customHeight="1" x14ac:dyDescent="0.35">
      <c r="A61" s="41" t="s">
        <v>40</v>
      </c>
      <c r="B61" s="42" t="s">
        <v>13</v>
      </c>
      <c r="C61" s="117" t="s">
        <v>87</v>
      </c>
      <c r="D61" s="71">
        <v>557</v>
      </c>
      <c r="E61" s="71">
        <v>150</v>
      </c>
      <c r="F61" s="71">
        <v>10</v>
      </c>
      <c r="G61" s="108"/>
      <c r="H61" s="108"/>
      <c r="I61" s="108"/>
      <c r="J61" s="46" t="s">
        <v>33</v>
      </c>
      <c r="K61" s="22"/>
      <c r="L61" s="109"/>
    </row>
    <row r="62" spans="1:12" ht="50.1" customHeight="1" x14ac:dyDescent="0.35">
      <c r="A62" s="41" t="s">
        <v>40</v>
      </c>
      <c r="B62" s="42" t="s">
        <v>13</v>
      </c>
      <c r="C62" s="117" t="s">
        <v>87</v>
      </c>
      <c r="D62" s="110"/>
      <c r="E62" s="110"/>
      <c r="F62" s="110"/>
      <c r="G62" s="118">
        <v>94</v>
      </c>
      <c r="H62" s="111">
        <v>120</v>
      </c>
      <c r="I62" s="111">
        <v>10</v>
      </c>
      <c r="J62" s="46" t="s">
        <v>33</v>
      </c>
      <c r="K62" s="22"/>
      <c r="L62" s="109"/>
    </row>
    <row r="63" spans="1:12" ht="50.1" customHeight="1" thickBot="1" x14ac:dyDescent="0.4">
      <c r="A63" s="95" t="s">
        <v>40</v>
      </c>
      <c r="B63" s="96" t="s">
        <v>13</v>
      </c>
      <c r="C63" s="123" t="s">
        <v>87</v>
      </c>
      <c r="D63" s="121"/>
      <c r="E63" s="121"/>
      <c r="F63" s="121"/>
      <c r="G63" s="107">
        <v>361</v>
      </c>
      <c r="H63" s="107">
        <v>180</v>
      </c>
      <c r="I63" s="107">
        <v>12</v>
      </c>
      <c r="J63" s="104" t="s">
        <v>33</v>
      </c>
      <c r="K63" s="105"/>
      <c r="L63" s="119"/>
    </row>
    <row r="64" spans="1:12" ht="50.1" customHeight="1" x14ac:dyDescent="0.35">
      <c r="A64" s="55" t="s">
        <v>40</v>
      </c>
      <c r="B64" s="56" t="s">
        <v>13</v>
      </c>
      <c r="C64" s="116" t="s">
        <v>88</v>
      </c>
      <c r="D64" s="70">
        <v>460</v>
      </c>
      <c r="E64" s="70">
        <v>250</v>
      </c>
      <c r="F64" s="70">
        <v>12</v>
      </c>
      <c r="G64" s="112"/>
      <c r="H64" s="112"/>
      <c r="I64" s="112"/>
      <c r="J64" s="62" t="s">
        <v>33</v>
      </c>
      <c r="K64" s="63"/>
      <c r="L64" s="113"/>
    </row>
    <row r="65" spans="1:12" ht="50.1" customHeight="1" x14ac:dyDescent="0.35">
      <c r="A65" s="41" t="s">
        <v>40</v>
      </c>
      <c r="B65" s="42" t="s">
        <v>13</v>
      </c>
      <c r="C65" s="117" t="s">
        <v>88</v>
      </c>
      <c r="D65" s="71">
        <v>553</v>
      </c>
      <c r="E65" s="71">
        <v>150</v>
      </c>
      <c r="F65" s="71">
        <v>10</v>
      </c>
      <c r="G65" s="108"/>
      <c r="H65" s="108"/>
      <c r="I65" s="108"/>
      <c r="J65" s="46" t="s">
        <v>33</v>
      </c>
      <c r="K65" s="22"/>
      <c r="L65" s="109"/>
    </row>
    <row r="66" spans="1:12" ht="50.1" customHeight="1" x14ac:dyDescent="0.35">
      <c r="A66" s="41" t="s">
        <v>40</v>
      </c>
      <c r="B66" s="42" t="s">
        <v>13</v>
      </c>
      <c r="C66" s="123" t="s">
        <v>88</v>
      </c>
      <c r="D66" s="110"/>
      <c r="E66" s="110"/>
      <c r="F66" s="110"/>
      <c r="G66" s="118">
        <v>44</v>
      </c>
      <c r="H66" s="111">
        <v>120</v>
      </c>
      <c r="I66" s="111">
        <v>10</v>
      </c>
      <c r="J66" s="46" t="s">
        <v>33</v>
      </c>
      <c r="K66" s="22"/>
      <c r="L66" s="109"/>
    </row>
    <row r="67" spans="1:12" ht="50.1" customHeight="1" thickBot="1" x14ac:dyDescent="0.4">
      <c r="A67" s="44" t="s">
        <v>40</v>
      </c>
      <c r="B67" s="43" t="s">
        <v>13</v>
      </c>
      <c r="C67" s="132" t="s">
        <v>88</v>
      </c>
      <c r="D67" s="114"/>
      <c r="E67" s="114"/>
      <c r="F67" s="114"/>
      <c r="G67" s="69">
        <v>53</v>
      </c>
      <c r="H67" s="69">
        <v>180</v>
      </c>
      <c r="I67" s="69">
        <v>12</v>
      </c>
      <c r="J67" s="47" t="s">
        <v>33</v>
      </c>
      <c r="K67" s="24"/>
      <c r="L67" s="115"/>
    </row>
    <row r="68" spans="1:12" ht="50.1" customHeight="1" x14ac:dyDescent="0.35">
      <c r="A68" s="125" t="s">
        <v>40</v>
      </c>
      <c r="B68" s="126" t="s">
        <v>13</v>
      </c>
      <c r="C68" s="124" t="s">
        <v>36</v>
      </c>
      <c r="D68" s="127">
        <v>405</v>
      </c>
      <c r="E68" s="127">
        <v>250</v>
      </c>
      <c r="F68" s="127">
        <v>12</v>
      </c>
      <c r="G68" s="128"/>
      <c r="H68" s="128"/>
      <c r="I68" s="128"/>
      <c r="J68" s="129" t="s">
        <v>33</v>
      </c>
      <c r="K68" s="130"/>
      <c r="L68" s="131"/>
    </row>
    <row r="69" spans="1:12" ht="50.1" customHeight="1" x14ac:dyDescent="0.35">
      <c r="A69" s="41" t="s">
        <v>40</v>
      </c>
      <c r="B69" s="42" t="s">
        <v>13</v>
      </c>
      <c r="C69" s="117" t="s">
        <v>36</v>
      </c>
      <c r="D69" s="71">
        <v>349</v>
      </c>
      <c r="E69" s="71">
        <v>150</v>
      </c>
      <c r="F69" s="71">
        <v>10</v>
      </c>
      <c r="G69" s="108"/>
      <c r="H69" s="108"/>
      <c r="I69" s="108"/>
      <c r="J69" s="46" t="s">
        <v>33</v>
      </c>
      <c r="K69" s="22"/>
      <c r="L69" s="109"/>
    </row>
    <row r="70" spans="1:12" ht="50.1" customHeight="1" x14ac:dyDescent="0.35">
      <c r="A70" s="41" t="s">
        <v>40</v>
      </c>
      <c r="B70" s="42" t="s">
        <v>13</v>
      </c>
      <c r="C70" s="123" t="s">
        <v>36</v>
      </c>
      <c r="D70" s="110"/>
      <c r="E70" s="110"/>
      <c r="F70" s="110"/>
      <c r="G70" s="118">
        <v>362</v>
      </c>
      <c r="H70" s="111">
        <v>120</v>
      </c>
      <c r="I70" s="111">
        <v>10</v>
      </c>
      <c r="J70" s="46" t="s">
        <v>33</v>
      </c>
      <c r="K70" s="22"/>
      <c r="L70" s="109"/>
    </row>
    <row r="71" spans="1:12" ht="50.1" customHeight="1" thickBot="1" x14ac:dyDescent="0.4">
      <c r="A71" s="44" t="s">
        <v>40</v>
      </c>
      <c r="B71" s="43" t="s">
        <v>13</v>
      </c>
      <c r="C71" s="132" t="s">
        <v>36</v>
      </c>
      <c r="D71" s="114"/>
      <c r="E71" s="114"/>
      <c r="F71" s="114"/>
      <c r="G71" s="69">
        <v>68</v>
      </c>
      <c r="H71" s="69">
        <v>180</v>
      </c>
      <c r="I71" s="69">
        <v>12</v>
      </c>
      <c r="J71" s="47" t="s">
        <v>33</v>
      </c>
      <c r="K71" s="24"/>
      <c r="L71" s="115"/>
    </row>
    <row r="72" spans="1:12" ht="50.1" customHeight="1" x14ac:dyDescent="0.35">
      <c r="A72" s="137"/>
      <c r="B72" s="137"/>
      <c r="C72" s="138"/>
      <c r="D72" s="143"/>
      <c r="E72" s="143"/>
      <c r="F72" s="143"/>
      <c r="G72" s="139"/>
      <c r="H72" s="139"/>
      <c r="I72" s="139"/>
      <c r="J72" s="140"/>
      <c r="K72" s="141"/>
      <c r="L72" s="142"/>
    </row>
    <row r="73" spans="1:12" ht="50.1" customHeight="1" x14ac:dyDescent="0.35">
      <c r="A73" s="137"/>
      <c r="B73" s="137"/>
      <c r="C73" s="117"/>
      <c r="D73" s="165" t="s">
        <v>8</v>
      </c>
      <c r="E73" s="165"/>
      <c r="F73" s="166" t="s">
        <v>9</v>
      </c>
      <c r="G73" s="166"/>
      <c r="H73" s="139"/>
      <c r="I73" s="139"/>
      <c r="J73" s="140"/>
      <c r="K73" s="141"/>
      <c r="L73" s="142"/>
    </row>
    <row r="74" spans="1:12" ht="50.1" customHeight="1" x14ac:dyDescent="0.35">
      <c r="C74" s="22" t="s">
        <v>90</v>
      </c>
      <c r="D74" s="164">
        <f>SUM(D7:D71)</f>
        <v>20705</v>
      </c>
      <c r="E74" s="164"/>
      <c r="F74" s="164">
        <f>SUM(G7:G71)</f>
        <v>6356</v>
      </c>
      <c r="G74" s="164"/>
    </row>
    <row r="75" spans="1:12" ht="50.1" customHeight="1" x14ac:dyDescent="0.35">
      <c r="C75" s="144" t="s">
        <v>91</v>
      </c>
      <c r="D75" s="164">
        <f>SUM(D74+F74)</f>
        <v>27061</v>
      </c>
      <c r="E75" s="164"/>
      <c r="F75" s="164"/>
      <c r="G75" s="164"/>
    </row>
  </sheetData>
  <autoFilter ref="A6:L50"/>
  <mergeCells count="18">
    <mergeCell ref="D75:G75"/>
    <mergeCell ref="D73:E73"/>
    <mergeCell ref="F73:G73"/>
    <mergeCell ref="F74:G74"/>
    <mergeCell ref="D74:E74"/>
    <mergeCell ref="R31:R32"/>
    <mergeCell ref="R33:R34"/>
    <mergeCell ref="J5:J6"/>
    <mergeCell ref="J4:K4"/>
    <mergeCell ref="K5:K6"/>
    <mergeCell ref="L5:L6"/>
    <mergeCell ref="R24:R25"/>
    <mergeCell ref="A4:A6"/>
    <mergeCell ref="B4:B6"/>
    <mergeCell ref="C4:C6"/>
    <mergeCell ref="D5:F5"/>
    <mergeCell ref="G5:I5"/>
    <mergeCell ref="D4:I4"/>
  </mergeCells>
  <pageMargins left="0.25" right="0.25" top="0.75" bottom="0.75" header="0.3" footer="0.3"/>
  <pageSetup paperSize="9" scale="42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selection activeCell="H15" sqref="H15"/>
    </sheetView>
  </sheetViews>
  <sheetFormatPr defaultRowHeight="15" x14ac:dyDescent="0.25"/>
  <cols>
    <col min="1" max="1" width="11.140625" style="2" customWidth="1"/>
    <col min="3" max="6" width="9.140625" style="3"/>
    <col min="9" max="9" width="14.28515625" style="3" customWidth="1"/>
    <col min="11" max="12" width="11.5703125" customWidth="1"/>
  </cols>
  <sheetData>
    <row r="1" spans="1:13" x14ac:dyDescent="0.25">
      <c r="A1" s="13"/>
      <c r="B1" s="12"/>
      <c r="C1" s="5" t="s">
        <v>15</v>
      </c>
      <c r="D1" s="6" t="s">
        <v>15</v>
      </c>
      <c r="E1" s="5" t="s">
        <v>15</v>
      </c>
      <c r="F1" s="7" t="s">
        <v>15</v>
      </c>
    </row>
    <row r="2" spans="1:13" ht="30" x14ac:dyDescent="0.25">
      <c r="A2" s="14"/>
      <c r="B2" s="10" t="s">
        <v>29</v>
      </c>
      <c r="C2" s="8" t="s">
        <v>16</v>
      </c>
      <c r="D2" s="8" t="s">
        <v>17</v>
      </c>
      <c r="E2" s="8" t="s">
        <v>18</v>
      </c>
      <c r="F2" s="9" t="s">
        <v>19</v>
      </c>
      <c r="I2" s="93" t="s">
        <v>78</v>
      </c>
    </row>
    <row r="3" spans="1:13" x14ac:dyDescent="0.25">
      <c r="A3" s="14" t="s">
        <v>20</v>
      </c>
      <c r="B3" s="10">
        <f>22+11+4+5+30+12+20</f>
        <v>104</v>
      </c>
      <c r="C3" s="10"/>
      <c r="D3" s="16">
        <v>94</v>
      </c>
      <c r="E3" s="16">
        <f>276+10+9+14+7+34+10</f>
        <v>360</v>
      </c>
      <c r="F3" s="17">
        <v>206</v>
      </c>
    </row>
    <row r="4" spans="1:13" x14ac:dyDescent="0.25">
      <c r="A4" s="14" t="s">
        <v>9</v>
      </c>
      <c r="B4" s="10"/>
      <c r="C4" s="10"/>
      <c r="D4" s="10"/>
      <c r="E4" s="16">
        <f>19+18+19+18</f>
        <v>74</v>
      </c>
      <c r="F4" s="11"/>
      <c r="I4" s="73" t="s">
        <v>64</v>
      </c>
      <c r="J4" s="74"/>
      <c r="L4" s="2"/>
    </row>
    <row r="5" spans="1:13" x14ac:dyDescent="0.25">
      <c r="A5" s="14"/>
      <c r="B5" s="10"/>
      <c r="C5" s="10"/>
      <c r="D5" s="10"/>
      <c r="E5" s="10"/>
      <c r="F5" s="11"/>
      <c r="I5" s="75" t="s">
        <v>70</v>
      </c>
      <c r="J5" s="76">
        <f>10+10+5+20+30+25+20+30+40+25+30+30+20+30</f>
        <v>325</v>
      </c>
      <c r="L5" s="1" t="s">
        <v>9</v>
      </c>
    </row>
    <row r="6" spans="1:13" x14ac:dyDescent="0.25">
      <c r="A6" s="14" t="s">
        <v>26</v>
      </c>
      <c r="B6" s="10"/>
      <c r="C6" s="10"/>
      <c r="D6" s="10"/>
      <c r="E6" s="16">
        <f>83+15+9+20+72</f>
        <v>199</v>
      </c>
      <c r="F6" s="17">
        <f>42+8</f>
        <v>50</v>
      </c>
      <c r="I6" s="75" t="s">
        <v>72</v>
      </c>
      <c r="J6" s="76">
        <f>10+5+20</f>
        <v>35</v>
      </c>
      <c r="L6" s="74" t="s">
        <v>71</v>
      </c>
      <c r="M6" s="74">
        <f>20+20+12+13+12+2+10+14+10</f>
        <v>113</v>
      </c>
    </row>
    <row r="7" spans="1:13" x14ac:dyDescent="0.25">
      <c r="A7" s="14" t="s">
        <v>9</v>
      </c>
      <c r="B7" s="10"/>
      <c r="C7" s="10"/>
      <c r="D7" s="10"/>
      <c r="E7" s="16">
        <f>59+43</f>
        <v>102</v>
      </c>
      <c r="F7" s="11"/>
      <c r="I7" s="75" t="s">
        <v>73</v>
      </c>
      <c r="J7" s="76">
        <f>120+120+116+100+18+50+24+60+48+54+60+60+48+36+36+60+60+4+48+60+44+36+36+72+40+18+48+60+36+48+36+36+4+60+68+84+36+48</f>
        <v>1992</v>
      </c>
      <c r="L7" s="74" t="s">
        <v>32</v>
      </c>
      <c r="M7" s="74">
        <v>2</v>
      </c>
    </row>
    <row r="8" spans="1:13" x14ac:dyDescent="0.25">
      <c r="A8" s="14"/>
      <c r="B8" s="10"/>
      <c r="C8" s="10"/>
      <c r="D8" s="10"/>
      <c r="E8" s="10"/>
      <c r="F8" s="11"/>
      <c r="I8" s="75" t="s">
        <v>74</v>
      </c>
      <c r="J8" s="76">
        <f>100+100+50+50+18+30+12+30+50+50+20+50+24+18+30+50+24+50+60+30+18+50+50+50+3+50+30</f>
        <v>1097</v>
      </c>
      <c r="L8" s="74">
        <v>120</v>
      </c>
      <c r="M8" s="74">
        <v>1</v>
      </c>
    </row>
    <row r="9" spans="1:13" ht="30" x14ac:dyDescent="0.25">
      <c r="A9" s="14" t="s">
        <v>25</v>
      </c>
      <c r="B9" s="10">
        <f>28+26+29+7</f>
        <v>90</v>
      </c>
      <c r="C9" s="10"/>
      <c r="D9" s="16">
        <f>59+19+178+209+7</f>
        <v>472</v>
      </c>
      <c r="E9" s="16">
        <f>185+243+143+295+199+15+92+45+30+49+77+21+20+47+24+17+7+12+22+112+254+4+15+20+24</f>
        <v>1972</v>
      </c>
      <c r="F9" s="17">
        <f>116+26+210+598+22+423+24+24+20+32+16+16+32+4+7</f>
        <v>1570</v>
      </c>
      <c r="I9" s="75" t="s">
        <v>75</v>
      </c>
      <c r="J9" s="76">
        <f>5+5</f>
        <v>10</v>
      </c>
    </row>
    <row r="10" spans="1:13" x14ac:dyDescent="0.25">
      <c r="A10" s="14" t="s">
        <v>9</v>
      </c>
      <c r="B10" s="10"/>
      <c r="C10" s="10"/>
      <c r="D10" s="10"/>
      <c r="E10" s="16">
        <f>8+21+3+31+12+4+7+3+4+11+36+10+13+12</f>
        <v>175</v>
      </c>
      <c r="F10" s="17">
        <f>48+8</f>
        <v>56</v>
      </c>
      <c r="I10" s="75" t="s">
        <v>76</v>
      </c>
      <c r="J10" s="76"/>
    </row>
    <row r="11" spans="1:13" ht="24" customHeight="1" x14ac:dyDescent="0.25">
      <c r="A11" s="14"/>
      <c r="B11" s="10"/>
      <c r="C11" s="10"/>
      <c r="D11" s="10"/>
      <c r="E11" s="10"/>
      <c r="F11" s="11"/>
      <c r="I11" s="75" t="s">
        <v>77</v>
      </c>
      <c r="J11" s="76">
        <f>20+40+20</f>
        <v>80</v>
      </c>
    </row>
    <row r="12" spans="1:13" x14ac:dyDescent="0.25">
      <c r="A12" s="14" t="s">
        <v>21</v>
      </c>
      <c r="B12" s="10">
        <f>14+22+15+23</f>
        <v>74</v>
      </c>
      <c r="C12" s="10"/>
      <c r="D12" s="10"/>
      <c r="E12" s="16">
        <f>12+4</f>
        <v>16</v>
      </c>
      <c r="F12" s="17">
        <f>60+45</f>
        <v>105</v>
      </c>
      <c r="I12" s="75" t="s">
        <v>19</v>
      </c>
      <c r="J12" s="76">
        <f>36+48+60+24+36+18+36+60+48+36+36</f>
        <v>438</v>
      </c>
    </row>
    <row r="13" spans="1:13" x14ac:dyDescent="0.25">
      <c r="A13" s="14" t="s">
        <v>9</v>
      </c>
      <c r="B13" s="10"/>
      <c r="C13" s="10"/>
      <c r="D13" s="10"/>
      <c r="E13" s="16">
        <f>88+26+100+45+392</f>
        <v>651</v>
      </c>
      <c r="F13" s="11"/>
    </row>
    <row r="14" spans="1:13" x14ac:dyDescent="0.25">
      <c r="A14" s="14"/>
      <c r="B14" s="10"/>
      <c r="C14" s="10"/>
      <c r="D14" s="10"/>
      <c r="E14" s="10"/>
      <c r="F14" s="11"/>
    </row>
    <row r="15" spans="1:13" ht="30" x14ac:dyDescent="0.25">
      <c r="A15" s="14" t="s">
        <v>27</v>
      </c>
      <c r="B15" s="10"/>
      <c r="C15" s="10"/>
      <c r="D15" s="10"/>
      <c r="E15" s="16">
        <f>68+10+17+85+13+17+16</f>
        <v>226</v>
      </c>
      <c r="F15" s="17">
        <f>5+4</f>
        <v>9</v>
      </c>
    </row>
    <row r="16" spans="1:13" x14ac:dyDescent="0.25">
      <c r="A16" s="14" t="s">
        <v>9</v>
      </c>
      <c r="B16" s="10"/>
      <c r="C16" s="10"/>
      <c r="D16" s="10"/>
      <c r="E16" s="16">
        <f>29+30+37+21+21+216</f>
        <v>354</v>
      </c>
      <c r="F16" s="11"/>
    </row>
    <row r="17" spans="1:6" x14ac:dyDescent="0.25">
      <c r="A17" s="14"/>
      <c r="B17" s="10"/>
      <c r="C17" s="10"/>
      <c r="D17" s="10"/>
      <c r="E17" s="10"/>
      <c r="F17" s="11"/>
    </row>
    <row r="18" spans="1:6" x14ac:dyDescent="0.25">
      <c r="A18" s="14"/>
      <c r="B18" s="10"/>
      <c r="C18" s="10"/>
      <c r="D18" s="10"/>
      <c r="E18" s="10"/>
      <c r="F18" s="11"/>
    </row>
    <row r="19" spans="1:6" ht="30" x14ac:dyDescent="0.25">
      <c r="A19" s="14" t="s">
        <v>28</v>
      </c>
      <c r="B19" s="10"/>
      <c r="C19" s="10">
        <f>134+5</f>
        <v>139</v>
      </c>
      <c r="D19" s="16">
        <v>14</v>
      </c>
      <c r="E19" s="16">
        <f>144+67+46+18+37+39+72+11+22+30+23+75+29+35</f>
        <v>648</v>
      </c>
      <c r="F19" s="17">
        <f>68+2+28</f>
        <v>98</v>
      </c>
    </row>
    <row r="20" spans="1:6" x14ac:dyDescent="0.25">
      <c r="A20" s="14" t="s">
        <v>9</v>
      </c>
      <c r="B20" s="10"/>
      <c r="C20" s="10"/>
      <c r="D20" s="10"/>
      <c r="E20" s="16">
        <f>18+58</f>
        <v>76</v>
      </c>
      <c r="F20" s="11"/>
    </row>
    <row r="21" spans="1:6" x14ac:dyDescent="0.25">
      <c r="A21" s="14"/>
      <c r="B21" s="10"/>
      <c r="C21" s="10"/>
      <c r="D21" s="10"/>
      <c r="E21" s="10"/>
      <c r="F21" s="11"/>
    </row>
    <row r="22" spans="1:6" x14ac:dyDescent="0.25">
      <c r="A22" s="15" t="s">
        <v>22</v>
      </c>
      <c r="B22" s="4"/>
      <c r="C22" s="10"/>
      <c r="D22" s="10"/>
      <c r="E22" s="16">
        <f>8+6</f>
        <v>14</v>
      </c>
      <c r="F22" s="11"/>
    </row>
    <row r="23" spans="1:6" x14ac:dyDescent="0.25">
      <c r="A23" s="14" t="s">
        <v>9</v>
      </c>
      <c r="B23" s="10"/>
      <c r="C23" s="10"/>
      <c r="D23" s="10"/>
      <c r="E23" s="16">
        <f>49+24+115+79</f>
        <v>267</v>
      </c>
      <c r="F23" s="11"/>
    </row>
    <row r="24" spans="1:6" x14ac:dyDescent="0.25">
      <c r="A24" s="14"/>
      <c r="B24" s="10"/>
      <c r="C24" s="10"/>
      <c r="D24" s="10"/>
      <c r="E24" s="10"/>
      <c r="F24" s="11"/>
    </row>
    <row r="25" spans="1:6" x14ac:dyDescent="0.25">
      <c r="A25" s="14"/>
      <c r="B25" s="10"/>
      <c r="C25" s="10"/>
      <c r="D25" s="10"/>
      <c r="E25" s="10"/>
      <c r="F25" s="11"/>
    </row>
    <row r="26" spans="1:6" ht="30" x14ac:dyDescent="0.25">
      <c r="A26" s="14" t="s">
        <v>23</v>
      </c>
      <c r="B26" s="10"/>
      <c r="C26" s="10"/>
      <c r="D26" s="10"/>
      <c r="E26" s="16">
        <v>10</v>
      </c>
      <c r="F26" s="11"/>
    </row>
    <row r="27" spans="1:6" x14ac:dyDescent="0.25">
      <c r="A27" s="14" t="s">
        <v>9</v>
      </c>
      <c r="B27" s="10"/>
      <c r="C27" s="10"/>
      <c r="D27" s="10"/>
      <c r="E27" s="10"/>
      <c r="F27" s="11"/>
    </row>
    <row r="28" spans="1:6" x14ac:dyDescent="0.25">
      <c r="A28" s="14"/>
      <c r="B28" s="10"/>
      <c r="C28" s="10"/>
      <c r="D28" s="10"/>
      <c r="E28" s="10"/>
      <c r="F28" s="11"/>
    </row>
    <row r="29" spans="1:6" x14ac:dyDescent="0.25">
      <c r="A29" s="14"/>
      <c r="B29" s="10"/>
      <c r="C29" s="10"/>
      <c r="D29" s="10"/>
      <c r="E29" s="10"/>
      <c r="F29" s="11"/>
    </row>
    <row r="30" spans="1:6" x14ac:dyDescent="0.25">
      <c r="A30" s="14" t="s">
        <v>24</v>
      </c>
      <c r="B30" s="10"/>
      <c r="C30" s="10"/>
      <c r="D30" s="10"/>
      <c r="E30" s="10"/>
      <c r="F30" s="11"/>
    </row>
    <row r="31" spans="1:6" x14ac:dyDescent="0.25">
      <c r="A31" s="14"/>
      <c r="B31" s="10"/>
      <c r="C31" s="10"/>
      <c r="D31" s="10"/>
      <c r="E31" s="10"/>
      <c r="F31" s="11"/>
    </row>
    <row r="33" spans="1:6" x14ac:dyDescent="0.25">
      <c r="A33" s="2" t="s">
        <v>34</v>
      </c>
      <c r="D33" s="27">
        <f>5+8</f>
        <v>13</v>
      </c>
      <c r="E33" s="27">
        <f>142+101+80+34+299+76+16+31+5+7+16+9+14</f>
        <v>830</v>
      </c>
      <c r="F33" s="27">
        <f>166+42+108+194</f>
        <v>510</v>
      </c>
    </row>
    <row r="34" spans="1:6" x14ac:dyDescent="0.25">
      <c r="E34" s="27">
        <f>24+58+34</f>
        <v>116</v>
      </c>
    </row>
    <row r="38" spans="1:6" x14ac:dyDescent="0.25">
      <c r="A38" s="2" t="s">
        <v>35</v>
      </c>
      <c r="D38" s="27">
        <f>41+57</f>
        <v>98</v>
      </c>
      <c r="E38" s="27">
        <f>7+90+18+50+59+35+52+17+22+35+26+75+69+61</f>
        <v>616</v>
      </c>
      <c r="F38" s="27">
        <f>96+46+22</f>
        <v>164</v>
      </c>
    </row>
    <row r="39" spans="1:6" x14ac:dyDescent="0.25">
      <c r="E39" s="27">
        <f>13+86+13+54+6+26+48+60+31</f>
        <v>337</v>
      </c>
      <c r="F39" s="27">
        <f>90+65</f>
        <v>155</v>
      </c>
    </row>
    <row r="43" spans="1:6" x14ac:dyDescent="0.25">
      <c r="A43" s="2" t="s">
        <v>36</v>
      </c>
      <c r="F43" s="27">
        <v>16</v>
      </c>
    </row>
    <row r="47" spans="1:6" x14ac:dyDescent="0.25">
      <c r="A47" s="2" t="s">
        <v>37</v>
      </c>
      <c r="D47" s="27">
        <v>15</v>
      </c>
      <c r="E47" s="27">
        <f>59+6+18+8</f>
        <v>91</v>
      </c>
      <c r="F47" s="27">
        <f>72+21</f>
        <v>93</v>
      </c>
    </row>
    <row r="48" spans="1:6" x14ac:dyDescent="0.25">
      <c r="E48" s="27">
        <v>19</v>
      </c>
    </row>
    <row r="51" spans="1:6" x14ac:dyDescent="0.25">
      <c r="A51" s="2" t="s">
        <v>38</v>
      </c>
      <c r="E51" s="3">
        <v>4</v>
      </c>
    </row>
    <row r="55" spans="1:6" x14ac:dyDescent="0.25">
      <c r="A55" s="2" t="s">
        <v>39</v>
      </c>
      <c r="D55" s="27">
        <v>5</v>
      </c>
      <c r="E55" s="27">
        <f>194+39+10+51+57+42+126+53+145+41+32+97+84+44+10+45+73+90+39+36+44+32+13+70</f>
        <v>1467</v>
      </c>
      <c r="F55" s="27">
        <f>62+65+36+34+34+55+121+580+9+88+42+254+77+147</f>
        <v>1604</v>
      </c>
    </row>
    <row r="56" spans="1:6" x14ac:dyDescent="0.25">
      <c r="E56" s="27">
        <f>32+24+64+52+50+109+79</f>
        <v>410</v>
      </c>
      <c r="F56" s="27">
        <f>21+44</f>
        <v>65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LAMPU JALAN KPKT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Hanis Ali</dc:creator>
  <cp:lastModifiedBy>Ruslin, Rosliza </cp:lastModifiedBy>
  <cp:lastPrinted>2022-08-05T08:51:28Z</cp:lastPrinted>
  <dcterms:created xsi:type="dcterms:W3CDTF">2022-04-19T03:52:12Z</dcterms:created>
  <dcterms:modified xsi:type="dcterms:W3CDTF">2023-01-18T01:39:14Z</dcterms:modified>
</cp:coreProperties>
</file>